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trlProps/ctrlProp2.xml" ContentType="application/vnd.ms-excel.controlpropertie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mario.dinardo\Desktop\Kit 2023\"/>
    </mc:Choice>
  </mc:AlternateContent>
  <xr:revisionPtr revIDLastSave="0" documentId="8_{E51D1A82-98CD-4F19-8C78-7EFC71F5B6CF}" xr6:coauthVersionLast="47" xr6:coauthVersionMax="47" xr10:uidLastSave="{00000000-0000-0000-0000-000000000000}"/>
  <bookViews>
    <workbookView xWindow="-108" yWindow="-108" windowWidth="23256" windowHeight="12576" tabRatio="896" xr2:uid="{00000000-000D-0000-FFFF-FFFF00000000}"/>
  </bookViews>
  <sheets>
    <sheet name="SI_1" sheetId="47" r:id="rId1"/>
    <sheet name="tFAM" sheetId="124" r:id="rId2"/>
    <sheet name="t1" sheetId="2" r:id="rId3"/>
    <sheet name="1E" sheetId="126" r:id="rId4"/>
    <sheet name="t2" sheetId="125" r:id="rId5"/>
    <sheet name="t2A" sheetId="53" r:id="rId6"/>
    <sheet name="t3" sheetId="20" r:id="rId7"/>
    <sheet name="t4" sheetId="127" r:id="rId8"/>
    <sheet name="t5" sheetId="8" r:id="rId9"/>
    <sheet name="t6" sheetId="7" r:id="rId10"/>
    <sheet name="t7" sheetId="6" r:id="rId11"/>
    <sheet name="t8" sheetId="5" r:id="rId12"/>
    <sheet name="t9" sheetId="4" r:id="rId13"/>
    <sheet name="t10" sheetId="18" r:id="rId14"/>
    <sheet name="t11" sheetId="43" r:id="rId15"/>
    <sheet name="t12" sheetId="15" r:id="rId16"/>
    <sheet name="t13" sheetId="14" r:id="rId17"/>
    <sheet name="t14" sheetId="23" r:id="rId18"/>
    <sheet name="t15(1)" sheetId="111" r:id="rId19"/>
    <sheet name="t15(2)" sheetId="112" r:id="rId20"/>
    <sheet name="t15(3)" sheetId="113" r:id="rId21"/>
    <sheet name="t15(4)" sheetId="114" r:id="rId22"/>
    <sheet name="t15(5)" sheetId="115" r:id="rId23"/>
    <sheet name="SICI(1)" sheetId="116" r:id="rId24"/>
    <sheet name="SICI(2)" sheetId="117" r:id="rId25"/>
    <sheet name="SICI(3)" sheetId="118" r:id="rId26"/>
    <sheet name="SICI(4)" sheetId="119" r:id="rId27"/>
    <sheet name="SICI(5)" sheetId="120" r:id="rId28"/>
    <sheet name="Tabella Riconciliazione" sheetId="78" r:id="rId29"/>
    <sheet name="Valori Medi" sheetId="58" r:id="rId30"/>
    <sheet name="Squadratura 1" sheetId="31" r:id="rId31"/>
    <sheet name="Squadratura 2" sheetId="30" r:id="rId32"/>
    <sheet name="Squadratura 3" sheetId="32" r:id="rId33"/>
    <sheet name="Squadratura 4" sheetId="33" r:id="rId34"/>
    <sheet name="Squadratura 6" sheetId="121" r:id="rId35"/>
    <sheet name="Incongruenze 1 e 11" sheetId="35" r:id="rId36"/>
    <sheet name="Incongruenza 2" sheetId="29" r:id="rId37"/>
    <sheet name="Incongruenza 3" sheetId="123" r:id="rId38"/>
    <sheet name="Incongruenza 4 e controlli t14" sheetId="46" r:id="rId39"/>
    <sheet name="Incongruenza 5" sheetId="44" r:id="rId40"/>
    <sheet name="Incongruenza 6" sheetId="45" r:id="rId41"/>
    <sheet name="Incongruenza 7" sheetId="48" r:id="rId42"/>
    <sheet name="Incongruenza 8" sheetId="64" r:id="rId43"/>
    <sheet name="Incongruenza 10" sheetId="79" r:id="rId44"/>
    <sheet name="Incongruenze 12 e 13" sheetId="77" r:id="rId45"/>
    <sheet name="Incongruenza 14" sheetId="91" r:id="rId46"/>
    <sheet name="Incongruenza 15" sheetId="122" r:id="rId47"/>
  </sheets>
  <definedNames>
    <definedName name="_xlnm._FilterDatabase" localSheetId="11" hidden="1">'t8'!$A$3:$AB$26</definedName>
    <definedName name="_xlnm.Print_Area" localSheetId="46">'Incongruenza 15'!$A$1:$H$35</definedName>
    <definedName name="_xlnm.Print_Area" localSheetId="37">'Incongruenza 3'!$A$1:$G$39</definedName>
    <definedName name="_xlnm.Print_Area" localSheetId="35">'Incongruenze 1 e 11'!$A$1:$E$21</definedName>
    <definedName name="_xlnm.Print_Area" localSheetId="44">'Incongruenze 12 e 13'!$A$1:$D$14</definedName>
    <definedName name="_xlnm.Print_Area" localSheetId="0">SI_1!$A$1:$H$221</definedName>
    <definedName name="_xlnm.Print_Area" localSheetId="23">'SICI(1)'!$A$1:$F$55</definedName>
    <definedName name="_xlnm.Print_Area" localSheetId="24">'SICI(2)'!$A$1:$F$65</definedName>
    <definedName name="_xlnm.Print_Area" localSheetId="25">'SICI(3)'!$A$1:$F$75</definedName>
    <definedName name="_xlnm.Print_Area" localSheetId="26">'SICI(4)'!$A$1:$F$63</definedName>
    <definedName name="_xlnm.Print_Area" localSheetId="27">'SICI(5)'!$A$1:$F$108</definedName>
    <definedName name="_xlnm.Print_Area" localSheetId="30">'Squadratura 1'!$A$1:$J$26</definedName>
    <definedName name="_xlnm.Print_Area" localSheetId="31">'Squadratura 2'!$A$1:$L$27</definedName>
    <definedName name="_xlnm.Print_Area" localSheetId="32">'Squadratura 3'!$A$1:$Z$28</definedName>
    <definedName name="_xlnm.Print_Area" localSheetId="33">'Squadratura 4'!$A$1:$I$26</definedName>
    <definedName name="_xlnm.Print_Area" localSheetId="34">'Squadratura 6'!$A$1:$H$13</definedName>
    <definedName name="_xlnm.Print_Area" localSheetId="2">'t1'!$A$1:$AJ$29</definedName>
    <definedName name="_xlnm.Print_Area" localSheetId="13">'t10'!$A$1:$AV$28</definedName>
    <definedName name="_xlnm.Print_Area" localSheetId="14">'t11'!$A$1:$AW$30</definedName>
    <definedName name="_xlnm.Print_Area" localSheetId="15">'t12'!$A$1:$AJ$30</definedName>
    <definedName name="_xlnm.Print_Area" localSheetId="16">'t13'!$A$1:$AU$29</definedName>
    <definedName name="_xlnm.Print_Area" localSheetId="18">'t15(1)'!$A$1:$G$44</definedName>
    <definedName name="_xlnm.Print_Area" localSheetId="19">'t15(2)'!$A$1:$G$47</definedName>
    <definedName name="_xlnm.Print_Area" localSheetId="20">'t15(3)'!$A$1:$G$45</definedName>
    <definedName name="_xlnm.Print_Area" localSheetId="21">'t15(4)'!$A$1:$G$48</definedName>
    <definedName name="_xlnm.Print_Area" localSheetId="22">'t15(5)'!$A$1:$G$61</definedName>
    <definedName name="_xlnm.Print_Area" localSheetId="5">t2A!$A$1:$S$20</definedName>
    <definedName name="_xlnm.Print_Area" localSheetId="6">'t3'!$A$1:$P$31</definedName>
    <definedName name="_xlnm.Print_Area" localSheetId="7">'t4'!$A$1:$W$37</definedName>
    <definedName name="_xlnm.Print_Area" localSheetId="8">'t5'!$A$1:$V$30</definedName>
    <definedName name="_xlnm.Print_Area" localSheetId="10">'t7'!$A$1:$X$28</definedName>
    <definedName name="_xlnm.Print_Area" localSheetId="11">'t8'!$A$1:$AB$29</definedName>
    <definedName name="_xlnm.Print_Area" localSheetId="12">'t9'!$A$1:$P$28</definedName>
    <definedName name="_xlnm.Print_Area" localSheetId="1">tFAM!$A$1:$D$44</definedName>
    <definedName name="_xlnm.Print_Area" localSheetId="29">'Valori Medi'!$A$1:$T$28</definedName>
    <definedName name="CODI_ISTITUZIONE" localSheetId="3">#REF!</definedName>
    <definedName name="CODI_ISTITUZIONE" localSheetId="23">#REF!</definedName>
    <definedName name="CODI_ISTITUZIONE" localSheetId="24">#REF!</definedName>
    <definedName name="CODI_ISTITUZIONE" localSheetId="25">#REF!</definedName>
    <definedName name="CODI_ISTITUZIONE" localSheetId="26">#REF!</definedName>
    <definedName name="CODI_ISTITUZIONE" localSheetId="27">#REF!</definedName>
    <definedName name="CODI_ISTITUZIONE" localSheetId="7">#REF!</definedName>
    <definedName name="CODI_ISTITUZIONE">#REF!</definedName>
    <definedName name="CODI_ISTITUZIONE2" localSheetId="3">#REF!</definedName>
    <definedName name="CODI_ISTITUZIONE2" localSheetId="45">#REF!</definedName>
    <definedName name="CODI_ISTITUZIONE2" localSheetId="46">#REF!</definedName>
    <definedName name="CODI_ISTITUZIONE2" localSheetId="37">#REF!</definedName>
    <definedName name="CODI_ISTITUZIONE2" localSheetId="42">#REF!</definedName>
    <definedName name="CODI_ISTITUZIONE2" localSheetId="44">#REF!</definedName>
    <definedName name="CODI_ISTITUZIONE2" localSheetId="23">#REF!</definedName>
    <definedName name="CODI_ISTITUZIONE2" localSheetId="24">#REF!</definedName>
    <definedName name="CODI_ISTITUZIONE2" localSheetId="25">#REF!</definedName>
    <definedName name="CODI_ISTITUZIONE2" localSheetId="26">#REF!</definedName>
    <definedName name="CODI_ISTITUZIONE2" localSheetId="27">#REF!</definedName>
    <definedName name="CODI_ISTITUZIONE2" localSheetId="34">#REF!</definedName>
    <definedName name="CODI_ISTITUZIONE2" localSheetId="19">#REF!</definedName>
    <definedName name="CODI_ISTITUZIONE2" localSheetId="20">#REF!</definedName>
    <definedName name="CODI_ISTITUZIONE2" localSheetId="21">#REF!</definedName>
    <definedName name="CODI_ISTITUZIONE2" localSheetId="7">#REF!</definedName>
    <definedName name="CODI_ISTITUZIONE2">#REF!</definedName>
    <definedName name="DESC_ISTITUZIONE" localSheetId="3">#REF!</definedName>
    <definedName name="DESC_ISTITUZIONE" localSheetId="23">#REF!</definedName>
    <definedName name="DESC_ISTITUZIONE" localSheetId="24">#REF!</definedName>
    <definedName name="DESC_ISTITUZIONE" localSheetId="25">#REF!</definedName>
    <definedName name="DESC_ISTITUZIONE" localSheetId="26">#REF!</definedName>
    <definedName name="DESC_ISTITUZIONE" localSheetId="27">#REF!</definedName>
    <definedName name="DESC_ISTITUZIONE" localSheetId="7">#REF!</definedName>
    <definedName name="DESC_ISTITUZIONE">#REF!</definedName>
    <definedName name="DESC_ISTITUZIONE2" localSheetId="3">#REF!</definedName>
    <definedName name="DESC_ISTITUZIONE2" localSheetId="45">#REF!</definedName>
    <definedName name="DESC_ISTITUZIONE2" localSheetId="46">#REF!</definedName>
    <definedName name="DESC_ISTITUZIONE2" localSheetId="37">#REF!</definedName>
    <definedName name="DESC_ISTITUZIONE2" localSheetId="42">#REF!</definedName>
    <definedName name="DESC_ISTITUZIONE2" localSheetId="44">#REF!</definedName>
    <definedName name="DESC_ISTITUZIONE2" localSheetId="23">#REF!</definedName>
    <definedName name="DESC_ISTITUZIONE2" localSheetId="24">#REF!</definedName>
    <definedName name="DESC_ISTITUZIONE2" localSheetId="25">#REF!</definedName>
    <definedName name="DESC_ISTITUZIONE2" localSheetId="26">#REF!</definedName>
    <definedName name="DESC_ISTITUZIONE2" localSheetId="27">#REF!</definedName>
    <definedName name="DESC_ISTITUZIONE2" localSheetId="34">#REF!</definedName>
    <definedName name="DESC_ISTITUZIONE2" localSheetId="19">#REF!</definedName>
    <definedName name="DESC_ISTITUZIONE2" localSheetId="20">#REF!</definedName>
    <definedName name="DESC_ISTITUZIONE2" localSheetId="21">#REF!</definedName>
    <definedName name="DESC_ISTITUZIONE2" localSheetId="7">#REF!</definedName>
    <definedName name="DESC_ISTITUZIONE2">#REF!</definedName>
    <definedName name="_xlnm.Print_Titles" localSheetId="46">'Incongruenza 15'!$1:$4</definedName>
    <definedName name="_xlnm.Print_Titles" localSheetId="36">'Incongruenza 2'!$1:$5</definedName>
    <definedName name="_xlnm.Print_Titles" localSheetId="39">'Incongruenza 5'!$1:$5</definedName>
    <definedName name="_xlnm.Print_Titles" localSheetId="40">'Incongruenza 6'!$1:$5</definedName>
    <definedName name="_xlnm.Print_Titles" localSheetId="41">'Incongruenza 7'!$1:$4</definedName>
    <definedName name="_xlnm.Print_Titles" localSheetId="42">'Incongruenza 8'!$1:$5</definedName>
    <definedName name="_xlnm.Print_Titles" localSheetId="35">'Incongruenze 1 e 11'!$4:$4</definedName>
    <definedName name="_xlnm.Print_Titles" localSheetId="44">'Incongruenze 12 e 13'!$4:$4</definedName>
    <definedName name="_xlnm.Print_Titles" localSheetId="30">'Squadratura 1'!$1:$5</definedName>
    <definedName name="_xlnm.Print_Titles" localSheetId="31">'Squadratura 2'!$1:$6</definedName>
    <definedName name="_xlnm.Print_Titles" localSheetId="32">'Squadratura 3'!$A:$B,'Squadratura 3'!$1:$7</definedName>
    <definedName name="_xlnm.Print_Titles" localSheetId="33">'Squadratura 4'!$1:$5</definedName>
    <definedName name="_xlnm.Print_Titles" localSheetId="34">'Squadratura 6'!$1:$5</definedName>
    <definedName name="_xlnm.Print_Titles" localSheetId="2">'t1'!$1:$5</definedName>
    <definedName name="_xlnm.Print_Titles" localSheetId="13">'t10'!$A:$B,'t10'!$1:$5</definedName>
    <definedName name="_xlnm.Print_Titles" localSheetId="14">'t11'!$1:$7</definedName>
    <definedName name="_xlnm.Print_Titles" localSheetId="15">'t12'!$1:$5</definedName>
    <definedName name="_xlnm.Print_Titles" localSheetId="16">'t13'!$1:$5</definedName>
    <definedName name="_xlnm.Print_Titles" localSheetId="22">'t15(5)'!$5:$6</definedName>
    <definedName name="_xlnm.Print_Titles" localSheetId="4">'t2'!$1:$5</definedName>
    <definedName name="_xlnm.Print_Titles" localSheetId="6">'t3'!$1:$5</definedName>
    <definedName name="_xlnm.Print_Titles" localSheetId="8">'t5'!$1:$6</definedName>
    <definedName name="_xlnm.Print_Titles" localSheetId="9">'t6'!$1:$6</definedName>
    <definedName name="_xlnm.Print_Titles" localSheetId="10">'t7'!$1:$5</definedName>
    <definedName name="_xlnm.Print_Titles" localSheetId="11">'t8'!$1:$5</definedName>
    <definedName name="_xlnm.Print_Titles" localSheetId="12">'t9'!$1:$5</definedName>
    <definedName name="_xlnm.Print_Titles" localSheetId="1">tFAM!$1:$4</definedName>
    <definedName name="_xlnm.Print_Titles" localSheetId="29">'Valori Medi'!$A:$E,'Valori Medi'!$1:$5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9" i="126" l="1"/>
  <c r="N9" i="126"/>
  <c r="M8" i="126"/>
  <c r="N8" i="126"/>
  <c r="A8" i="126"/>
  <c r="B8" i="126"/>
  <c r="A9" i="126"/>
  <c r="B9" i="126"/>
  <c r="B7" i="126"/>
  <c r="A7" i="126"/>
  <c r="P6" i="14" l="1"/>
  <c r="P26" i="14" s="1"/>
  <c r="P7" i="14"/>
  <c r="P8" i="14"/>
  <c r="P9" i="14"/>
  <c r="P10" i="14"/>
  <c r="P11" i="14"/>
  <c r="P12" i="14"/>
  <c r="P13" i="14"/>
  <c r="P14" i="14"/>
  <c r="P15" i="14"/>
  <c r="P16" i="14"/>
  <c r="P17" i="14"/>
  <c r="P18" i="14"/>
  <c r="P19" i="14"/>
  <c r="P20" i="14"/>
  <c r="P21" i="14"/>
  <c r="P22" i="14"/>
  <c r="P23" i="14"/>
  <c r="P24" i="14"/>
  <c r="P25" i="14"/>
  <c r="AN26" i="14"/>
  <c r="X27" i="43"/>
  <c r="X26" i="43"/>
  <c r="X25" i="43"/>
  <c r="X24" i="43"/>
  <c r="X23" i="43"/>
  <c r="X22" i="43"/>
  <c r="X21" i="43"/>
  <c r="X20" i="43"/>
  <c r="X19" i="43"/>
  <c r="X18" i="43"/>
  <c r="X17" i="43"/>
  <c r="X16" i="43"/>
  <c r="X15" i="43"/>
  <c r="X14" i="43"/>
  <c r="X13" i="43"/>
  <c r="X12" i="43"/>
  <c r="X11" i="43"/>
  <c r="X10" i="43"/>
  <c r="X9" i="43"/>
  <c r="X8" i="43"/>
  <c r="W27" i="43"/>
  <c r="W26" i="43"/>
  <c r="W25" i="43"/>
  <c r="W24" i="43"/>
  <c r="W23" i="43"/>
  <c r="W22" i="43"/>
  <c r="W21" i="43"/>
  <c r="W20" i="43"/>
  <c r="W19" i="43"/>
  <c r="W18" i="43"/>
  <c r="W17" i="43"/>
  <c r="W16" i="43"/>
  <c r="W15" i="43"/>
  <c r="W14" i="43"/>
  <c r="W13" i="43"/>
  <c r="W12" i="43"/>
  <c r="W11" i="43"/>
  <c r="W10" i="43"/>
  <c r="W9" i="43"/>
  <c r="W8" i="43"/>
  <c r="AV27" i="43"/>
  <c r="AU27" i="43"/>
  <c r="AV26" i="43"/>
  <c r="AU26" i="43"/>
  <c r="AV25" i="43"/>
  <c r="AU25" i="43"/>
  <c r="AV24" i="43"/>
  <c r="AU24" i="43"/>
  <c r="AV23" i="43"/>
  <c r="AU23" i="43"/>
  <c r="AV22" i="43"/>
  <c r="AU22" i="43"/>
  <c r="AV21" i="43"/>
  <c r="AU21" i="43"/>
  <c r="AV20" i="43"/>
  <c r="AU20" i="43"/>
  <c r="AV19" i="43"/>
  <c r="AU19" i="43"/>
  <c r="AV18" i="43"/>
  <c r="AU18" i="43"/>
  <c r="AV17" i="43"/>
  <c r="AU17" i="43"/>
  <c r="AV16" i="43"/>
  <c r="AU16" i="43"/>
  <c r="AV15" i="43"/>
  <c r="AU15" i="43"/>
  <c r="AV14" i="43"/>
  <c r="AU14" i="43"/>
  <c r="AV13" i="43"/>
  <c r="AU13" i="43"/>
  <c r="AV12" i="43"/>
  <c r="AU12" i="43"/>
  <c r="AV11" i="43"/>
  <c r="AU11" i="43"/>
  <c r="AV10" i="43"/>
  <c r="AU10" i="43"/>
  <c r="AV9" i="43"/>
  <c r="AU9" i="43"/>
  <c r="AV8" i="43"/>
  <c r="AU8" i="43"/>
  <c r="H31" i="122"/>
  <c r="C31" i="122"/>
  <c r="C24" i="122" l="1"/>
  <c r="F228" i="47"/>
  <c r="C239" i="47"/>
  <c r="C32" i="122"/>
  <c r="H33" i="122"/>
  <c r="H32" i="122"/>
  <c r="H30" i="122"/>
  <c r="H29" i="122"/>
  <c r="H24" i="122"/>
  <c r="H23" i="122"/>
  <c r="H21" i="122"/>
  <c r="H20" i="122"/>
  <c r="H19" i="122"/>
  <c r="C19" i="122"/>
  <c r="H14" i="122"/>
  <c r="H7" i="122" s="1"/>
  <c r="H5" i="122" s="1"/>
  <c r="H13" i="122"/>
  <c r="C14" i="122"/>
  <c r="C13" i="122"/>
  <c r="G6" i="121"/>
  <c r="G2" i="120"/>
  <c r="C28" i="122"/>
  <c r="C27" i="122"/>
  <c r="G33" i="122"/>
  <c r="G32" i="122"/>
  <c r="G29" i="122"/>
  <c r="G28" i="122"/>
  <c r="G27" i="122"/>
  <c r="G24" i="122"/>
  <c r="G23" i="122"/>
  <c r="G21" i="122"/>
  <c r="G18" i="122"/>
  <c r="G12" i="122"/>
  <c r="C12" i="122"/>
  <c r="F6" i="121"/>
  <c r="G2" i="119"/>
  <c r="F33" i="122"/>
  <c r="F32" i="122"/>
  <c r="F24" i="122"/>
  <c r="F23" i="122"/>
  <c r="F21" i="122"/>
  <c r="F17" i="122"/>
  <c r="F11" i="122"/>
  <c r="C11" i="122"/>
  <c r="E6" i="121"/>
  <c r="G2" i="118"/>
  <c r="E33" i="122"/>
  <c r="E32" i="122"/>
  <c r="E26" i="122"/>
  <c r="C26" i="122"/>
  <c r="E24" i="122"/>
  <c r="E23" i="122"/>
  <c r="E21" i="122"/>
  <c r="E16" i="122"/>
  <c r="E10" i="122"/>
  <c r="C10" i="122"/>
  <c r="D6" i="121"/>
  <c r="D8" i="121" s="1"/>
  <c r="D10" i="121" s="1"/>
  <c r="G2" i="117"/>
  <c r="D33" i="122"/>
  <c r="C33" i="122"/>
  <c r="D32" i="122"/>
  <c r="D25" i="122"/>
  <c r="C25" i="122"/>
  <c r="D23" i="122"/>
  <c r="C23" i="122"/>
  <c r="D21" i="122"/>
  <c r="D15" i="122"/>
  <c r="D9" i="122"/>
  <c r="D7" i="122" s="1"/>
  <c r="C9" i="122"/>
  <c r="C6" i="121"/>
  <c r="C4" i="121"/>
  <c r="G2" i="116"/>
  <c r="H6" i="122"/>
  <c r="G9" i="121"/>
  <c r="G7" i="121"/>
  <c r="H21" i="115"/>
  <c r="H6" i="115"/>
  <c r="G6" i="122"/>
  <c r="G35" i="122" s="1"/>
  <c r="F9" i="121"/>
  <c r="F7" i="121"/>
  <c r="H23" i="114"/>
  <c r="H6" i="114"/>
  <c r="F6" i="122"/>
  <c r="F32" i="123"/>
  <c r="F24" i="123"/>
  <c r="E9" i="121"/>
  <c r="E7" i="121"/>
  <c r="H23" i="113"/>
  <c r="H6" i="113"/>
  <c r="E6" i="122"/>
  <c r="E21" i="123"/>
  <c r="E18" i="123"/>
  <c r="D9" i="121"/>
  <c r="D7" i="121"/>
  <c r="H23" i="112"/>
  <c r="H6" i="112"/>
  <c r="D6" i="122"/>
  <c r="C9" i="121"/>
  <c r="H9" i="121" s="1"/>
  <c r="C7" i="121"/>
  <c r="H23" i="111"/>
  <c r="H6" i="111"/>
  <c r="A1" i="122"/>
  <c r="A1" i="123"/>
  <c r="A1" i="121"/>
  <c r="N17" i="120"/>
  <c r="N15" i="120"/>
  <c r="N13" i="120"/>
  <c r="G17" i="120"/>
  <c r="G15" i="120"/>
  <c r="G13" i="120"/>
  <c r="A6" i="120"/>
  <c r="G16" i="123" s="1"/>
  <c r="G5" i="120"/>
  <c r="N17" i="119"/>
  <c r="N15" i="119"/>
  <c r="N13" i="119"/>
  <c r="G17" i="119"/>
  <c r="G15" i="119"/>
  <c r="G13" i="119"/>
  <c r="A6" i="119"/>
  <c r="G5" i="119"/>
  <c r="N17" i="118"/>
  <c r="N15" i="118"/>
  <c r="N13" i="118"/>
  <c r="G17" i="118"/>
  <c r="G15" i="118"/>
  <c r="G13" i="118"/>
  <c r="A6" i="118"/>
  <c r="F34" i="123" s="1"/>
  <c r="G5" i="118"/>
  <c r="N17" i="117"/>
  <c r="N15" i="117"/>
  <c r="N13" i="117"/>
  <c r="G17" i="117"/>
  <c r="G15" i="117"/>
  <c r="G13" i="117"/>
  <c r="A6" i="117"/>
  <c r="E22" i="123" s="1"/>
  <c r="G5" i="117"/>
  <c r="N13" i="116"/>
  <c r="G13" i="116"/>
  <c r="A6" i="116"/>
  <c r="D18" i="123" s="1"/>
  <c r="G5" i="116"/>
  <c r="A1" i="115"/>
  <c r="A1" i="114"/>
  <c r="A1" i="113"/>
  <c r="A1" i="112"/>
  <c r="A1" i="111"/>
  <c r="H35" i="122"/>
  <c r="F35" i="122"/>
  <c r="G41" i="123"/>
  <c r="F41" i="123"/>
  <c r="E41" i="123"/>
  <c r="D41" i="123"/>
  <c r="H7" i="121"/>
  <c r="G8" i="121"/>
  <c r="G10" i="121" s="1"/>
  <c r="F8" i="121"/>
  <c r="F10" i="121" s="1"/>
  <c r="E8" i="121"/>
  <c r="E10" i="121" s="1"/>
  <c r="C8" i="121"/>
  <c r="G106" i="120"/>
  <c r="N105" i="120"/>
  <c r="M105" i="120"/>
  <c r="L105" i="120"/>
  <c r="K105" i="120"/>
  <c r="G103" i="120"/>
  <c r="N102" i="120"/>
  <c r="M102" i="120"/>
  <c r="L102" i="120"/>
  <c r="K102" i="120"/>
  <c r="N98" i="120"/>
  <c r="M98" i="120"/>
  <c r="L98" i="120"/>
  <c r="K98" i="120"/>
  <c r="N96" i="120"/>
  <c r="M96" i="120"/>
  <c r="L96" i="120"/>
  <c r="K96" i="120"/>
  <c r="N94" i="120"/>
  <c r="M94" i="120"/>
  <c r="L94" i="120"/>
  <c r="K94" i="120"/>
  <c r="N92" i="120"/>
  <c r="M92" i="120"/>
  <c r="L92" i="120"/>
  <c r="K92" i="120"/>
  <c r="G92" i="120"/>
  <c r="N90" i="120"/>
  <c r="M90" i="120"/>
  <c r="L90" i="120"/>
  <c r="K90" i="120"/>
  <c r="N88" i="120"/>
  <c r="M88" i="120"/>
  <c r="L88" i="120"/>
  <c r="K88" i="120"/>
  <c r="G88" i="120"/>
  <c r="G86" i="120"/>
  <c r="N84" i="120"/>
  <c r="M84" i="120"/>
  <c r="L84" i="120"/>
  <c r="K84" i="120"/>
  <c r="G84" i="120"/>
  <c r="N82" i="120"/>
  <c r="M82" i="120"/>
  <c r="L82" i="120"/>
  <c r="K82" i="120"/>
  <c r="N80" i="120"/>
  <c r="M80" i="120"/>
  <c r="L80" i="120"/>
  <c r="K80" i="120"/>
  <c r="G80" i="120"/>
  <c r="N78" i="120"/>
  <c r="M78" i="120"/>
  <c r="L78" i="120"/>
  <c r="K78" i="120"/>
  <c r="N76" i="120"/>
  <c r="M76" i="120"/>
  <c r="L76" i="120"/>
  <c r="K76" i="120"/>
  <c r="N74" i="120"/>
  <c r="M74" i="120"/>
  <c r="L74" i="120"/>
  <c r="K74" i="120"/>
  <c r="N72" i="120"/>
  <c r="M72" i="120"/>
  <c r="L72" i="120"/>
  <c r="K72" i="120"/>
  <c r="N70" i="120"/>
  <c r="M70" i="120"/>
  <c r="L70" i="120"/>
  <c r="K70" i="120"/>
  <c r="N68" i="120"/>
  <c r="M68" i="120"/>
  <c r="L68" i="120"/>
  <c r="K68" i="120"/>
  <c r="G68" i="120"/>
  <c r="N64" i="120"/>
  <c r="M64" i="120"/>
  <c r="L64" i="120"/>
  <c r="K64" i="120"/>
  <c r="N62" i="120"/>
  <c r="M62" i="120"/>
  <c r="L62" i="120"/>
  <c r="K62" i="120"/>
  <c r="G62" i="120"/>
  <c r="N60" i="120"/>
  <c r="M60" i="120"/>
  <c r="L60" i="120"/>
  <c r="K60" i="120"/>
  <c r="N58" i="120"/>
  <c r="M58" i="120"/>
  <c r="L58" i="120"/>
  <c r="K58" i="120"/>
  <c r="N56" i="120"/>
  <c r="M56" i="120"/>
  <c r="L56" i="120"/>
  <c r="K56" i="120"/>
  <c r="N54" i="120"/>
  <c r="M54" i="120"/>
  <c r="L54" i="120"/>
  <c r="K54" i="120"/>
  <c r="N49" i="120"/>
  <c r="M49" i="120"/>
  <c r="L49" i="120"/>
  <c r="K49" i="120"/>
  <c r="N47" i="120"/>
  <c r="M47" i="120"/>
  <c r="L47" i="120"/>
  <c r="K47" i="120"/>
  <c r="G47" i="120"/>
  <c r="N45" i="120"/>
  <c r="M45" i="120"/>
  <c r="L45" i="120"/>
  <c r="K45" i="120"/>
  <c r="N43" i="120"/>
  <c r="M43" i="120"/>
  <c r="L43" i="120"/>
  <c r="K43" i="120"/>
  <c r="G43" i="120"/>
  <c r="N41" i="120"/>
  <c r="M41" i="120"/>
  <c r="L41" i="120"/>
  <c r="K41" i="120"/>
  <c r="N39" i="120"/>
  <c r="M39" i="120"/>
  <c r="L39" i="120"/>
  <c r="K39" i="120"/>
  <c r="N35" i="120"/>
  <c r="M35" i="120"/>
  <c r="L35" i="120"/>
  <c r="K35" i="120"/>
  <c r="N33" i="120"/>
  <c r="M33" i="120"/>
  <c r="L33" i="120"/>
  <c r="K33" i="120"/>
  <c r="N31" i="120"/>
  <c r="M31" i="120"/>
  <c r="L31" i="120"/>
  <c r="K31" i="120"/>
  <c r="N29" i="120"/>
  <c r="M29" i="120"/>
  <c r="L29" i="120"/>
  <c r="K29" i="120"/>
  <c r="G29" i="120"/>
  <c r="N27" i="120"/>
  <c r="M27" i="120"/>
  <c r="L27" i="120"/>
  <c r="K27" i="120"/>
  <c r="N23" i="120"/>
  <c r="M23" i="120"/>
  <c r="L23" i="120"/>
  <c r="K23" i="120"/>
  <c r="G23" i="120"/>
  <c r="N21" i="120"/>
  <c r="M21" i="120"/>
  <c r="L21" i="120"/>
  <c r="K21" i="120"/>
  <c r="G21" i="120"/>
  <c r="N19" i="120"/>
  <c r="M19" i="120"/>
  <c r="L19" i="120"/>
  <c r="K19" i="120"/>
  <c r="M17" i="120"/>
  <c r="L17" i="120"/>
  <c r="K17" i="120"/>
  <c r="M15" i="120"/>
  <c r="L15" i="120"/>
  <c r="K15" i="120"/>
  <c r="M13" i="120"/>
  <c r="L13" i="120"/>
  <c r="K13" i="120"/>
  <c r="N8" i="120"/>
  <c r="G94" i="120" s="1"/>
  <c r="G63" i="119"/>
  <c r="N62" i="119"/>
  <c r="M62" i="119"/>
  <c r="L62" i="119"/>
  <c r="K62" i="119"/>
  <c r="G60" i="119"/>
  <c r="N59" i="119"/>
  <c r="M59" i="119"/>
  <c r="L59" i="119"/>
  <c r="K59" i="119"/>
  <c r="N55" i="119"/>
  <c r="M55" i="119"/>
  <c r="L55" i="119"/>
  <c r="K55" i="119"/>
  <c r="N53" i="119"/>
  <c r="M53" i="119"/>
  <c r="L53" i="119"/>
  <c r="K53" i="119"/>
  <c r="N51" i="119"/>
  <c r="M51" i="119"/>
  <c r="L51" i="119"/>
  <c r="K51" i="119"/>
  <c r="N49" i="119"/>
  <c r="M49" i="119"/>
  <c r="L49" i="119"/>
  <c r="K49" i="119"/>
  <c r="G49" i="119"/>
  <c r="N47" i="119"/>
  <c r="M47" i="119"/>
  <c r="L47" i="119"/>
  <c r="K47" i="119"/>
  <c r="N43" i="119"/>
  <c r="M43" i="119"/>
  <c r="L43" i="119"/>
  <c r="K43" i="119"/>
  <c r="G43" i="119"/>
  <c r="N41" i="119"/>
  <c r="M41" i="119"/>
  <c r="L41" i="119"/>
  <c r="K41" i="119"/>
  <c r="G41" i="119"/>
  <c r="N39" i="119"/>
  <c r="M39" i="119"/>
  <c r="L39" i="119"/>
  <c r="K39" i="119"/>
  <c r="N37" i="119"/>
  <c r="M37" i="119"/>
  <c r="L37" i="119"/>
  <c r="K37" i="119"/>
  <c r="N35" i="119"/>
  <c r="M35" i="119"/>
  <c r="L35" i="119"/>
  <c r="K35" i="119"/>
  <c r="N33" i="119"/>
  <c r="M33" i="119"/>
  <c r="L33" i="119"/>
  <c r="K33" i="119"/>
  <c r="G33" i="119"/>
  <c r="N31" i="119"/>
  <c r="M31" i="119"/>
  <c r="L31" i="119"/>
  <c r="K31" i="119"/>
  <c r="G31" i="119"/>
  <c r="N29" i="119"/>
  <c r="M29" i="119"/>
  <c r="L29" i="119"/>
  <c r="K29" i="119"/>
  <c r="N25" i="119"/>
  <c r="M25" i="119"/>
  <c r="L25" i="119"/>
  <c r="K25" i="119"/>
  <c r="G25" i="119"/>
  <c r="N23" i="119"/>
  <c r="M23" i="119"/>
  <c r="L23" i="119"/>
  <c r="K23" i="119"/>
  <c r="G23" i="119"/>
  <c r="N19" i="119"/>
  <c r="M19" i="119"/>
  <c r="L19" i="119"/>
  <c r="K19" i="119"/>
  <c r="M17" i="119"/>
  <c r="L17" i="119"/>
  <c r="K17" i="119"/>
  <c r="M15" i="119"/>
  <c r="L15" i="119"/>
  <c r="K15" i="119"/>
  <c r="M13" i="119"/>
  <c r="L13" i="119"/>
  <c r="K13" i="119"/>
  <c r="N8" i="119"/>
  <c r="G51" i="119" s="1"/>
  <c r="G75" i="118"/>
  <c r="N74" i="118"/>
  <c r="M74" i="118"/>
  <c r="L74" i="118"/>
  <c r="K74" i="118"/>
  <c r="G72" i="118"/>
  <c r="N71" i="118"/>
  <c r="M71" i="118"/>
  <c r="L71" i="118"/>
  <c r="K71" i="118"/>
  <c r="N67" i="118"/>
  <c r="M67" i="118"/>
  <c r="L67" i="118"/>
  <c r="K67" i="118"/>
  <c r="N65" i="118"/>
  <c r="M65" i="118"/>
  <c r="L65" i="118"/>
  <c r="K65" i="118"/>
  <c r="N63" i="118"/>
  <c r="M63" i="118"/>
  <c r="L63" i="118"/>
  <c r="K63" i="118"/>
  <c r="N61" i="118"/>
  <c r="M61" i="118"/>
  <c r="L61" i="118"/>
  <c r="K61" i="118"/>
  <c r="N59" i="118"/>
  <c r="M59" i="118"/>
  <c r="L59" i="118"/>
  <c r="K59" i="118"/>
  <c r="N55" i="118"/>
  <c r="M55" i="118"/>
  <c r="L55" i="118"/>
  <c r="K55" i="118"/>
  <c r="N53" i="118"/>
  <c r="M53" i="118"/>
  <c r="L53" i="118"/>
  <c r="K53" i="118"/>
  <c r="N51" i="118"/>
  <c r="M51" i="118"/>
  <c r="L51" i="118"/>
  <c r="K51" i="118"/>
  <c r="N49" i="118"/>
  <c r="M49" i="118"/>
  <c r="L49" i="118"/>
  <c r="K49" i="118"/>
  <c r="N47" i="118"/>
  <c r="M47" i="118"/>
  <c r="L47" i="118"/>
  <c r="K47" i="118"/>
  <c r="N45" i="118"/>
  <c r="M45" i="118"/>
  <c r="L45" i="118"/>
  <c r="K45" i="118"/>
  <c r="N43" i="118"/>
  <c r="M43" i="118"/>
  <c r="L43" i="118"/>
  <c r="K43" i="118"/>
  <c r="N41" i="118"/>
  <c r="M41" i="118"/>
  <c r="L41" i="118"/>
  <c r="K41" i="118"/>
  <c r="N39" i="118"/>
  <c r="M39" i="118"/>
  <c r="L39" i="118"/>
  <c r="K39" i="118"/>
  <c r="N37" i="118"/>
  <c r="M37" i="118"/>
  <c r="L37" i="118"/>
  <c r="K37" i="118"/>
  <c r="N35" i="118"/>
  <c r="M35" i="118"/>
  <c r="L35" i="118"/>
  <c r="K35" i="118"/>
  <c r="N33" i="118"/>
  <c r="M33" i="118"/>
  <c r="L33" i="118"/>
  <c r="K33" i="118"/>
  <c r="N31" i="118"/>
  <c r="M31" i="118"/>
  <c r="L31" i="118"/>
  <c r="K31" i="118"/>
  <c r="N29" i="118"/>
  <c r="M29" i="118"/>
  <c r="L29" i="118"/>
  <c r="K29" i="118"/>
  <c r="N25" i="118"/>
  <c r="M25" i="118"/>
  <c r="L25" i="118"/>
  <c r="K25" i="118"/>
  <c r="N23" i="118"/>
  <c r="M23" i="118"/>
  <c r="L23" i="118"/>
  <c r="K23" i="118"/>
  <c r="N19" i="118"/>
  <c r="M19" i="118"/>
  <c r="L19" i="118"/>
  <c r="K19" i="118"/>
  <c r="M17" i="118"/>
  <c r="L17" i="118"/>
  <c r="K17" i="118"/>
  <c r="M15" i="118"/>
  <c r="L15" i="118"/>
  <c r="K15" i="118"/>
  <c r="M13" i="118"/>
  <c r="L13" i="118"/>
  <c r="K13" i="118"/>
  <c r="N8" i="118"/>
  <c r="G63" i="118" s="1"/>
  <c r="G65" i="117"/>
  <c r="N64" i="117"/>
  <c r="M64" i="117"/>
  <c r="L64" i="117"/>
  <c r="K64" i="117"/>
  <c r="G62" i="117"/>
  <c r="N61" i="117"/>
  <c r="M61" i="117"/>
  <c r="L61" i="117"/>
  <c r="K61" i="117"/>
  <c r="N57" i="117"/>
  <c r="M57" i="117"/>
  <c r="L57" i="117"/>
  <c r="K57" i="117"/>
  <c r="N55" i="117"/>
  <c r="M55" i="117"/>
  <c r="L55" i="117"/>
  <c r="K55" i="117"/>
  <c r="N53" i="117"/>
  <c r="M53" i="117"/>
  <c r="L53" i="117"/>
  <c r="K53" i="117"/>
  <c r="N51" i="117"/>
  <c r="M51" i="117"/>
  <c r="L51" i="117"/>
  <c r="K51" i="117"/>
  <c r="N49" i="117"/>
  <c r="M49" i="117"/>
  <c r="L49" i="117"/>
  <c r="K49" i="117"/>
  <c r="G49" i="117"/>
  <c r="N45" i="117"/>
  <c r="M45" i="117"/>
  <c r="L45" i="117"/>
  <c r="K45" i="117"/>
  <c r="G45" i="117"/>
  <c r="N43" i="117"/>
  <c r="M43" i="117"/>
  <c r="L43" i="117"/>
  <c r="K43" i="117"/>
  <c r="N41" i="117"/>
  <c r="M41" i="117"/>
  <c r="L41" i="117"/>
  <c r="K41" i="117"/>
  <c r="G41" i="117"/>
  <c r="N39" i="117"/>
  <c r="M39" i="117"/>
  <c r="L39" i="117"/>
  <c r="K39" i="117"/>
  <c r="N37" i="117"/>
  <c r="M37" i="117"/>
  <c r="L37" i="117"/>
  <c r="K37" i="117"/>
  <c r="N35" i="117"/>
  <c r="M35" i="117"/>
  <c r="L35" i="117"/>
  <c r="K35" i="117"/>
  <c r="N33" i="117"/>
  <c r="M33" i="117"/>
  <c r="L33" i="117"/>
  <c r="K33" i="117"/>
  <c r="N31" i="117"/>
  <c r="M31" i="117"/>
  <c r="L31" i="117"/>
  <c r="K31" i="117"/>
  <c r="G31" i="117"/>
  <c r="N29" i="117"/>
  <c r="M29" i="117"/>
  <c r="L29" i="117"/>
  <c r="K29" i="117"/>
  <c r="G29" i="117"/>
  <c r="N25" i="117"/>
  <c r="M25" i="117"/>
  <c r="L25" i="117"/>
  <c r="K25" i="117"/>
  <c r="N23" i="117"/>
  <c r="M23" i="117"/>
  <c r="L23" i="117"/>
  <c r="K23" i="117"/>
  <c r="G23" i="117"/>
  <c r="N19" i="117"/>
  <c r="M19" i="117"/>
  <c r="L19" i="117"/>
  <c r="K19" i="117"/>
  <c r="M17" i="117"/>
  <c r="L17" i="117"/>
  <c r="K17" i="117"/>
  <c r="M15" i="117"/>
  <c r="L15" i="117"/>
  <c r="K15" i="117"/>
  <c r="M13" i="117"/>
  <c r="L13" i="117"/>
  <c r="K13" i="117"/>
  <c r="N8" i="117"/>
  <c r="G53" i="117" s="1"/>
  <c r="G55" i="116"/>
  <c r="N54" i="116"/>
  <c r="M54" i="116"/>
  <c r="L54" i="116"/>
  <c r="K54" i="116"/>
  <c r="G52" i="116"/>
  <c r="N51" i="116"/>
  <c r="M51" i="116"/>
  <c r="L51" i="116"/>
  <c r="K51" i="116"/>
  <c r="N47" i="116"/>
  <c r="M47" i="116"/>
  <c r="L47" i="116"/>
  <c r="K47" i="116"/>
  <c r="N45" i="116"/>
  <c r="M45" i="116"/>
  <c r="L45" i="116"/>
  <c r="K45" i="116"/>
  <c r="N41" i="116"/>
  <c r="M41" i="116"/>
  <c r="L41" i="116"/>
  <c r="K41" i="116"/>
  <c r="N39" i="116"/>
  <c r="M39" i="116"/>
  <c r="L39" i="116"/>
  <c r="K39" i="116"/>
  <c r="N37" i="116"/>
  <c r="M37" i="116"/>
  <c r="L37" i="116"/>
  <c r="K37" i="116"/>
  <c r="N35" i="116"/>
  <c r="M35" i="116"/>
  <c r="L35" i="116"/>
  <c r="K35" i="116"/>
  <c r="N33" i="116"/>
  <c r="M33" i="116"/>
  <c r="L33" i="116"/>
  <c r="K33" i="116"/>
  <c r="N31" i="116"/>
  <c r="M31" i="116"/>
  <c r="L31" i="116"/>
  <c r="K31" i="116"/>
  <c r="N29" i="116"/>
  <c r="M29" i="116"/>
  <c r="L29" i="116"/>
  <c r="K29" i="116"/>
  <c r="N27" i="116"/>
  <c r="M27" i="116"/>
  <c r="L27" i="116"/>
  <c r="K27" i="116"/>
  <c r="N25" i="116"/>
  <c r="M25" i="116"/>
  <c r="L25" i="116"/>
  <c r="K25" i="116"/>
  <c r="N21" i="116"/>
  <c r="M21" i="116"/>
  <c r="L21" i="116"/>
  <c r="K21" i="116"/>
  <c r="N19" i="116"/>
  <c r="M19" i="116"/>
  <c r="L19" i="116"/>
  <c r="K19" i="116"/>
  <c r="N15" i="116"/>
  <c r="M15" i="116"/>
  <c r="L15" i="116"/>
  <c r="K15" i="116"/>
  <c r="M13" i="116"/>
  <c r="L13" i="116"/>
  <c r="K13" i="116"/>
  <c r="N8" i="116"/>
  <c r="G41" i="116" s="1"/>
  <c r="C51" i="115"/>
  <c r="C50" i="115"/>
  <c r="S49" i="115"/>
  <c r="R49" i="115"/>
  <c r="Q49" i="115"/>
  <c r="G48" i="115"/>
  <c r="G47" i="115"/>
  <c r="C47" i="115"/>
  <c r="W46" i="115"/>
  <c r="V46" i="115"/>
  <c r="S46" i="115"/>
  <c r="R46" i="115"/>
  <c r="Q46" i="115"/>
  <c r="R45" i="115"/>
  <c r="R43" i="115"/>
  <c r="C42" i="115"/>
  <c r="S41" i="115"/>
  <c r="R41" i="115"/>
  <c r="Q41" i="115"/>
  <c r="S40" i="115"/>
  <c r="R40" i="115"/>
  <c r="Q40" i="115"/>
  <c r="S39" i="115"/>
  <c r="R39" i="115"/>
  <c r="Q39" i="115"/>
  <c r="S38" i="115"/>
  <c r="R38" i="115"/>
  <c r="Q38" i="115"/>
  <c r="S37" i="115"/>
  <c r="R37" i="115"/>
  <c r="Q37" i="115"/>
  <c r="C35" i="115"/>
  <c r="C43" i="115" s="1"/>
  <c r="S34" i="115"/>
  <c r="R34" i="115"/>
  <c r="Q34" i="115"/>
  <c r="S33" i="115"/>
  <c r="R33" i="115"/>
  <c r="Q33" i="115"/>
  <c r="S32" i="115"/>
  <c r="R32" i="115"/>
  <c r="Q32" i="115"/>
  <c r="S31" i="115"/>
  <c r="R31" i="115"/>
  <c r="Q31" i="115"/>
  <c r="S30" i="115"/>
  <c r="R30" i="115"/>
  <c r="Q30" i="115"/>
  <c r="S29" i="115"/>
  <c r="R29" i="115"/>
  <c r="Q29" i="115"/>
  <c r="S28" i="115"/>
  <c r="R28" i="115"/>
  <c r="Q28" i="115"/>
  <c r="S27" i="115"/>
  <c r="R27" i="115"/>
  <c r="Q27" i="115"/>
  <c r="S26" i="115"/>
  <c r="R26" i="115"/>
  <c r="Q26" i="115"/>
  <c r="H26" i="115"/>
  <c r="S25" i="115"/>
  <c r="R25" i="115"/>
  <c r="Q25" i="115"/>
  <c r="S24" i="115"/>
  <c r="R24" i="115"/>
  <c r="Q24" i="115"/>
  <c r="S23" i="115"/>
  <c r="R23" i="115"/>
  <c r="Q23" i="115"/>
  <c r="G23" i="115"/>
  <c r="G52" i="115" s="1"/>
  <c r="E23" i="115"/>
  <c r="S22" i="115"/>
  <c r="R22" i="115"/>
  <c r="Q22" i="115"/>
  <c r="G22" i="115"/>
  <c r="W21" i="115"/>
  <c r="V21" i="115"/>
  <c r="S21" i="115"/>
  <c r="R21" i="115"/>
  <c r="Q21" i="115"/>
  <c r="W20" i="115"/>
  <c r="V20" i="115"/>
  <c r="W19" i="115"/>
  <c r="V19" i="115"/>
  <c r="C19" i="115"/>
  <c r="W18" i="115"/>
  <c r="V18" i="115"/>
  <c r="S18" i="115"/>
  <c r="R18" i="115"/>
  <c r="Q18" i="115"/>
  <c r="H18" i="115"/>
  <c r="W17" i="115"/>
  <c r="V17" i="115"/>
  <c r="S17" i="115"/>
  <c r="R17" i="115"/>
  <c r="Q17" i="115"/>
  <c r="W16" i="115"/>
  <c r="V16" i="115"/>
  <c r="S16" i="115"/>
  <c r="R16" i="115"/>
  <c r="Q16" i="115"/>
  <c r="W15" i="115"/>
  <c r="V15" i="115"/>
  <c r="S15" i="115"/>
  <c r="R15" i="115"/>
  <c r="Q15" i="115"/>
  <c r="W14" i="115"/>
  <c r="V14" i="115"/>
  <c r="S14" i="115"/>
  <c r="R14" i="115"/>
  <c r="Q14" i="115"/>
  <c r="W13" i="115"/>
  <c r="V13" i="115"/>
  <c r="S13" i="115"/>
  <c r="R13" i="115"/>
  <c r="Q13" i="115"/>
  <c r="W12" i="115"/>
  <c r="V12" i="115"/>
  <c r="S12" i="115"/>
  <c r="R12" i="115"/>
  <c r="Q12" i="115"/>
  <c r="W11" i="115"/>
  <c r="V11" i="115"/>
  <c r="S11" i="115"/>
  <c r="R11" i="115"/>
  <c r="Q11" i="115"/>
  <c r="W10" i="115"/>
  <c r="V10" i="115"/>
  <c r="S10" i="115"/>
  <c r="R10" i="115"/>
  <c r="Q10" i="115"/>
  <c r="W9" i="115"/>
  <c r="V9" i="115"/>
  <c r="S9" i="115"/>
  <c r="R9" i="115"/>
  <c r="Q9" i="115"/>
  <c r="E7" i="115"/>
  <c r="C42" i="114"/>
  <c r="S41" i="114"/>
  <c r="R41" i="114"/>
  <c r="Q41" i="114"/>
  <c r="S40" i="114"/>
  <c r="R40" i="114"/>
  <c r="Q40" i="114"/>
  <c r="S39" i="114"/>
  <c r="R39" i="114"/>
  <c r="Q39" i="114"/>
  <c r="S38" i="114"/>
  <c r="R38" i="114"/>
  <c r="Q38" i="114"/>
  <c r="S37" i="114"/>
  <c r="R37" i="114"/>
  <c r="Q37" i="114"/>
  <c r="C35" i="114"/>
  <c r="S34" i="114"/>
  <c r="R34" i="114"/>
  <c r="Q34" i="114"/>
  <c r="S33" i="114"/>
  <c r="R33" i="114"/>
  <c r="Q33" i="114"/>
  <c r="S32" i="114"/>
  <c r="R32" i="114"/>
  <c r="Q32" i="114"/>
  <c r="S31" i="114"/>
  <c r="R31" i="114"/>
  <c r="Q31" i="114"/>
  <c r="S30" i="114"/>
  <c r="R30" i="114"/>
  <c r="Q30" i="114"/>
  <c r="S29" i="114"/>
  <c r="R29" i="114"/>
  <c r="Q29" i="114"/>
  <c r="S28" i="114"/>
  <c r="R28" i="114"/>
  <c r="Q28" i="114"/>
  <c r="S27" i="114"/>
  <c r="R27" i="114"/>
  <c r="Q27" i="114"/>
  <c r="S26" i="114"/>
  <c r="R26" i="114"/>
  <c r="Q26" i="114"/>
  <c r="S25" i="114"/>
  <c r="R25" i="114"/>
  <c r="Q25" i="114"/>
  <c r="S24" i="114"/>
  <c r="R24" i="114"/>
  <c r="Q24" i="114"/>
  <c r="S23" i="114"/>
  <c r="R23" i="114"/>
  <c r="Q23" i="114"/>
  <c r="S22" i="114"/>
  <c r="R22" i="114"/>
  <c r="Q22" i="114"/>
  <c r="S21" i="114"/>
  <c r="R21" i="114"/>
  <c r="Q21" i="114"/>
  <c r="C19" i="114"/>
  <c r="C43" i="114" s="1"/>
  <c r="S18" i="114"/>
  <c r="R18" i="114"/>
  <c r="Q18" i="114"/>
  <c r="S17" i="114"/>
  <c r="R17" i="114"/>
  <c r="Q17" i="114"/>
  <c r="S16" i="114"/>
  <c r="R16" i="114"/>
  <c r="Q16" i="114"/>
  <c r="S15" i="114"/>
  <c r="R15" i="114"/>
  <c r="Q15" i="114"/>
  <c r="G15" i="114"/>
  <c r="G16" i="114" s="1"/>
  <c r="G44" i="114" s="1"/>
  <c r="H19" i="114" s="1"/>
  <c r="W14" i="114"/>
  <c r="V14" i="114"/>
  <c r="S14" i="114"/>
  <c r="R14" i="114"/>
  <c r="Q14" i="114"/>
  <c r="W13" i="114"/>
  <c r="V13" i="114"/>
  <c r="S13" i="114"/>
  <c r="R13" i="114"/>
  <c r="Q13" i="114"/>
  <c r="W12" i="114"/>
  <c r="V12" i="114"/>
  <c r="S12" i="114"/>
  <c r="R12" i="114"/>
  <c r="Q12" i="114"/>
  <c r="W11" i="114"/>
  <c r="V11" i="114"/>
  <c r="S11" i="114"/>
  <c r="R11" i="114"/>
  <c r="Q11" i="114"/>
  <c r="W10" i="114"/>
  <c r="V10" i="114"/>
  <c r="S10" i="114"/>
  <c r="R10" i="114"/>
  <c r="Q10" i="114"/>
  <c r="W9" i="114"/>
  <c r="V9" i="114"/>
  <c r="S9" i="114"/>
  <c r="R9" i="114"/>
  <c r="Q9" i="114"/>
  <c r="E7" i="114"/>
  <c r="C41" i="113"/>
  <c r="C42" i="113" s="1"/>
  <c r="C40" i="113"/>
  <c r="S39" i="113"/>
  <c r="R39" i="113"/>
  <c r="Q39" i="113"/>
  <c r="S38" i="113"/>
  <c r="R38" i="113"/>
  <c r="Q38" i="113"/>
  <c r="S37" i="113"/>
  <c r="R37" i="113"/>
  <c r="Q37" i="113"/>
  <c r="S36" i="113"/>
  <c r="R36" i="113"/>
  <c r="Q36" i="113"/>
  <c r="S35" i="113"/>
  <c r="R35" i="113"/>
  <c r="Q35" i="113"/>
  <c r="C33" i="113"/>
  <c r="S32" i="113"/>
  <c r="R32" i="113"/>
  <c r="Q32" i="113"/>
  <c r="S31" i="113"/>
  <c r="R31" i="113"/>
  <c r="Q31" i="113"/>
  <c r="S30" i="113"/>
  <c r="R30" i="113"/>
  <c r="Q30" i="113"/>
  <c r="S29" i="113"/>
  <c r="R29" i="113"/>
  <c r="Q29" i="113"/>
  <c r="S28" i="113"/>
  <c r="R28" i="113"/>
  <c r="Q28" i="113"/>
  <c r="S27" i="113"/>
  <c r="R27" i="113"/>
  <c r="Q27" i="113"/>
  <c r="S26" i="113"/>
  <c r="R26" i="113"/>
  <c r="Q26" i="113"/>
  <c r="S25" i="113"/>
  <c r="R25" i="113"/>
  <c r="Q25" i="113"/>
  <c r="S24" i="113"/>
  <c r="R24" i="113"/>
  <c r="Q24" i="113"/>
  <c r="S23" i="113"/>
  <c r="R23" i="113"/>
  <c r="Q23" i="113"/>
  <c r="S22" i="113"/>
  <c r="R22" i="113"/>
  <c r="Q22" i="113"/>
  <c r="S21" i="113"/>
  <c r="R21" i="113"/>
  <c r="Q21" i="113"/>
  <c r="H19" i="113"/>
  <c r="C19" i="113"/>
  <c r="S18" i="113"/>
  <c r="R18" i="113"/>
  <c r="Q18" i="113"/>
  <c r="S17" i="113"/>
  <c r="R17" i="113"/>
  <c r="Q17" i="113"/>
  <c r="S16" i="113"/>
  <c r="R16" i="113"/>
  <c r="Q16" i="113"/>
  <c r="G16" i="113"/>
  <c r="G42" i="113" s="1"/>
  <c r="H20" i="113" s="1"/>
  <c r="S15" i="113"/>
  <c r="R15" i="113"/>
  <c r="Q15" i="113"/>
  <c r="G15" i="113"/>
  <c r="W14" i="113"/>
  <c r="V14" i="113"/>
  <c r="S14" i="113"/>
  <c r="R14" i="113"/>
  <c r="Q14" i="113"/>
  <c r="W13" i="113"/>
  <c r="V13" i="113"/>
  <c r="S13" i="113"/>
  <c r="R13" i="113"/>
  <c r="Q13" i="113"/>
  <c r="W12" i="113"/>
  <c r="V12" i="113"/>
  <c r="S12" i="113"/>
  <c r="R12" i="113"/>
  <c r="Q12" i="113"/>
  <c r="W11" i="113"/>
  <c r="V11" i="113"/>
  <c r="S11" i="113"/>
  <c r="R11" i="113"/>
  <c r="Q11" i="113"/>
  <c r="W10" i="113"/>
  <c r="V10" i="113"/>
  <c r="S10" i="113"/>
  <c r="R10" i="113"/>
  <c r="Q10" i="113"/>
  <c r="W9" i="113"/>
  <c r="V9" i="113"/>
  <c r="S9" i="113"/>
  <c r="R9" i="113"/>
  <c r="Q9" i="113"/>
  <c r="E7" i="113"/>
  <c r="C41" i="112"/>
  <c r="S40" i="112"/>
  <c r="R40" i="112"/>
  <c r="Q40" i="112"/>
  <c r="S39" i="112"/>
  <c r="R39" i="112"/>
  <c r="Q39" i="112"/>
  <c r="S38" i="112"/>
  <c r="R38" i="112"/>
  <c r="Q38" i="112"/>
  <c r="S37" i="112"/>
  <c r="R37" i="112"/>
  <c r="Q37" i="112"/>
  <c r="S36" i="112"/>
  <c r="R36" i="112"/>
  <c r="Q36" i="112"/>
  <c r="C34" i="112"/>
  <c r="S33" i="112"/>
  <c r="R33" i="112"/>
  <c r="Q33" i="112"/>
  <c r="S32" i="112"/>
  <c r="R32" i="112"/>
  <c r="Q32" i="112"/>
  <c r="S31" i="112"/>
  <c r="R31" i="112"/>
  <c r="Q31" i="112"/>
  <c r="S30" i="112"/>
  <c r="R30" i="112"/>
  <c r="Q30" i="112"/>
  <c r="S29" i="112"/>
  <c r="R29" i="112"/>
  <c r="Q29" i="112"/>
  <c r="S28" i="112"/>
  <c r="R28" i="112"/>
  <c r="Q28" i="112"/>
  <c r="S27" i="112"/>
  <c r="R27" i="112"/>
  <c r="Q27" i="112"/>
  <c r="S26" i="112"/>
  <c r="R26" i="112"/>
  <c r="Q26" i="112"/>
  <c r="S25" i="112"/>
  <c r="R25" i="112"/>
  <c r="Q25" i="112"/>
  <c r="S24" i="112"/>
  <c r="R24" i="112"/>
  <c r="Q24" i="112"/>
  <c r="S23" i="112"/>
  <c r="R23" i="112"/>
  <c r="Q23" i="112"/>
  <c r="S22" i="112"/>
  <c r="R22" i="112"/>
  <c r="Q22" i="112"/>
  <c r="S21" i="112"/>
  <c r="R21" i="112"/>
  <c r="Q21" i="112"/>
  <c r="C19" i="112"/>
  <c r="C42" i="112" s="1"/>
  <c r="S18" i="112"/>
  <c r="R18" i="112"/>
  <c r="Q18" i="112"/>
  <c r="S17" i="112"/>
  <c r="R17" i="112"/>
  <c r="Q17" i="112"/>
  <c r="S16" i="112"/>
  <c r="R16" i="112"/>
  <c r="Q16" i="112"/>
  <c r="S15" i="112"/>
  <c r="R15" i="112"/>
  <c r="Q15" i="112"/>
  <c r="S14" i="112"/>
  <c r="R14" i="112"/>
  <c r="Q14" i="112"/>
  <c r="S13" i="112"/>
  <c r="R13" i="112"/>
  <c r="Q13" i="112"/>
  <c r="G13" i="112"/>
  <c r="G14" i="112" s="1"/>
  <c r="W12" i="112"/>
  <c r="V12" i="112"/>
  <c r="S12" i="112"/>
  <c r="R12" i="112"/>
  <c r="Q12" i="112"/>
  <c r="W11" i="112"/>
  <c r="V11" i="112"/>
  <c r="S11" i="112"/>
  <c r="R11" i="112"/>
  <c r="Q11" i="112"/>
  <c r="W10" i="112"/>
  <c r="V10" i="112"/>
  <c r="S10" i="112"/>
  <c r="R10" i="112"/>
  <c r="Q10" i="112"/>
  <c r="W9" i="112"/>
  <c r="V9" i="112"/>
  <c r="S9" i="112"/>
  <c r="R9" i="112"/>
  <c r="Q9" i="112"/>
  <c r="C38" i="111"/>
  <c r="S37" i="111"/>
  <c r="R37" i="111"/>
  <c r="Q37" i="111"/>
  <c r="S36" i="111"/>
  <c r="R36" i="111"/>
  <c r="Q36" i="111"/>
  <c r="S35" i="111"/>
  <c r="R35" i="111"/>
  <c r="Q35" i="111"/>
  <c r="S34" i="111"/>
  <c r="R34" i="111"/>
  <c r="Q34" i="111"/>
  <c r="S33" i="111"/>
  <c r="R33" i="111"/>
  <c r="Q33" i="111"/>
  <c r="C31" i="111"/>
  <c r="S30" i="111"/>
  <c r="R30" i="111"/>
  <c r="Q30" i="111"/>
  <c r="S29" i="111"/>
  <c r="R29" i="111"/>
  <c r="Q29" i="111"/>
  <c r="S28" i="111"/>
  <c r="R28" i="111"/>
  <c r="Q28" i="111"/>
  <c r="S27" i="111"/>
  <c r="R27" i="111"/>
  <c r="Q27" i="111"/>
  <c r="S26" i="111"/>
  <c r="R26" i="111"/>
  <c r="Q26" i="111"/>
  <c r="S25" i="111"/>
  <c r="R25" i="111"/>
  <c r="Q25" i="111"/>
  <c r="S24" i="111"/>
  <c r="R24" i="111"/>
  <c r="Q24" i="111"/>
  <c r="S23" i="111"/>
  <c r="R23" i="111"/>
  <c r="Q23" i="111"/>
  <c r="S22" i="111"/>
  <c r="R22" i="111"/>
  <c r="Q22" i="111"/>
  <c r="S21" i="111"/>
  <c r="R21" i="111"/>
  <c r="Q21" i="111"/>
  <c r="C19" i="111"/>
  <c r="C39" i="111" s="1"/>
  <c r="C40" i="111" s="1"/>
  <c r="S18" i="111"/>
  <c r="R18" i="111"/>
  <c r="Q18" i="111"/>
  <c r="S17" i="111"/>
  <c r="R17" i="111"/>
  <c r="Q17" i="111"/>
  <c r="S16" i="111"/>
  <c r="R16" i="111"/>
  <c r="Q16" i="111"/>
  <c r="S15" i="111"/>
  <c r="R15" i="111"/>
  <c r="Q15" i="111"/>
  <c r="S14" i="111"/>
  <c r="R14" i="111"/>
  <c r="Q14" i="111"/>
  <c r="G14" i="111"/>
  <c r="G40" i="111" s="1"/>
  <c r="S13" i="111"/>
  <c r="R13" i="111"/>
  <c r="Q13" i="111"/>
  <c r="G13" i="111"/>
  <c r="W12" i="111"/>
  <c r="V12" i="111"/>
  <c r="S12" i="111"/>
  <c r="R12" i="111"/>
  <c r="Q12" i="111"/>
  <c r="W11" i="111"/>
  <c r="V11" i="111"/>
  <c r="S11" i="111"/>
  <c r="R11" i="111"/>
  <c r="Q11" i="111"/>
  <c r="W10" i="111"/>
  <c r="V10" i="111"/>
  <c r="S10" i="111"/>
  <c r="R10" i="111"/>
  <c r="Q10" i="111"/>
  <c r="W9" i="111"/>
  <c r="V9" i="111"/>
  <c r="S9" i="111"/>
  <c r="R9" i="111"/>
  <c r="Q9" i="111"/>
  <c r="O8" i="123" a="1"/>
  <c r="O7" i="123" a="1"/>
  <c r="O9" i="123" a="1"/>
  <c r="G7" i="122" l="1"/>
  <c r="G5" i="122" s="1"/>
  <c r="E7" i="122"/>
  <c r="E5" i="122" s="1"/>
  <c r="F7" i="122"/>
  <c r="D5" i="122"/>
  <c r="D34" i="122"/>
  <c r="O7" i="123"/>
  <c r="O8" i="123"/>
  <c r="O9" i="123"/>
  <c r="H6" i="121"/>
  <c r="D19" i="123"/>
  <c r="F27" i="123"/>
  <c r="D20" i="123"/>
  <c r="E17" i="123"/>
  <c r="F28" i="123"/>
  <c r="D21" i="123"/>
  <c r="F29" i="123"/>
  <c r="G15" i="123"/>
  <c r="G35" i="123" s="1"/>
  <c r="D22" i="123"/>
  <c r="E19" i="123"/>
  <c r="F30" i="123"/>
  <c r="E20" i="123"/>
  <c r="F23" i="123"/>
  <c r="F31" i="123"/>
  <c r="D17" i="123"/>
  <c r="F25" i="123"/>
  <c r="F33" i="123"/>
  <c r="F26" i="123"/>
  <c r="F34" i="122"/>
  <c r="H34" i="122"/>
  <c r="F5" i="122"/>
  <c r="D35" i="122"/>
  <c r="E35" i="122"/>
  <c r="H8" i="121"/>
  <c r="C10" i="121"/>
  <c r="G35" i="120"/>
  <c r="G56" i="120"/>
  <c r="G74" i="120"/>
  <c r="G98" i="120"/>
  <c r="G41" i="120"/>
  <c r="G60" i="120"/>
  <c r="G78" i="120"/>
  <c r="G33" i="120"/>
  <c r="G54" i="120"/>
  <c r="G72" i="120"/>
  <c r="G96" i="120"/>
  <c r="G27" i="120"/>
  <c r="G45" i="120"/>
  <c r="G64" i="120"/>
  <c r="G82" i="120"/>
  <c r="G90" i="120"/>
  <c r="G19" i="120"/>
  <c r="G39" i="120"/>
  <c r="G58" i="120"/>
  <c r="G76" i="120"/>
  <c r="G31" i="120"/>
  <c r="G49" i="120"/>
  <c r="G70" i="120"/>
  <c r="G37" i="119"/>
  <c r="G55" i="119"/>
  <c r="G35" i="119"/>
  <c r="G53" i="119"/>
  <c r="G29" i="119"/>
  <c r="G47" i="119"/>
  <c r="G19" i="119"/>
  <c r="G39" i="119"/>
  <c r="G19" i="118"/>
  <c r="G39" i="118"/>
  <c r="G55" i="118"/>
  <c r="G33" i="118"/>
  <c r="G49" i="118"/>
  <c r="G67" i="118"/>
  <c r="G43" i="118"/>
  <c r="G37" i="118"/>
  <c r="G53" i="118"/>
  <c r="G25" i="118"/>
  <c r="G61" i="118"/>
  <c r="G31" i="118"/>
  <c r="G47" i="118"/>
  <c r="G65" i="118"/>
  <c r="G23" i="118"/>
  <c r="G41" i="118"/>
  <c r="G59" i="118"/>
  <c r="G35" i="118"/>
  <c r="G51" i="118"/>
  <c r="G29" i="118"/>
  <c r="G45" i="118"/>
  <c r="G19" i="117"/>
  <c r="G39" i="117"/>
  <c r="G57" i="117"/>
  <c r="G33" i="117"/>
  <c r="G51" i="117"/>
  <c r="G25" i="117"/>
  <c r="G43" i="117"/>
  <c r="G37" i="117"/>
  <c r="G55" i="117"/>
  <c r="G35" i="117"/>
  <c r="G15" i="116"/>
  <c r="G35" i="116"/>
  <c r="G29" i="116"/>
  <c r="G47" i="116"/>
  <c r="G27" i="116"/>
  <c r="G45" i="116"/>
  <c r="G21" i="116"/>
  <c r="G33" i="116"/>
  <c r="G19" i="116"/>
  <c r="G37" i="116"/>
  <c r="G39" i="116"/>
  <c r="G31" i="116"/>
  <c r="G25" i="116"/>
  <c r="H15" i="115"/>
  <c r="H13" i="115" s="1"/>
  <c r="C52" i="115"/>
  <c r="H16" i="115"/>
  <c r="H17" i="115"/>
  <c r="H15" i="114"/>
  <c r="H13" i="114" s="1"/>
  <c r="C44" i="114"/>
  <c r="H16" i="114"/>
  <c r="H18" i="114"/>
  <c r="H18" i="113"/>
  <c r="H16" i="113"/>
  <c r="H13" i="113" s="1"/>
  <c r="C43" i="112"/>
  <c r="H18" i="112"/>
  <c r="H17" i="112"/>
  <c r="H19" i="112"/>
  <c r="G43" i="112"/>
  <c r="H20" i="112"/>
  <c r="H18" i="111"/>
  <c r="H17" i="111"/>
  <c r="H19" i="111"/>
  <c r="H20" i="111"/>
  <c r="E34" i="122" l="1"/>
  <c r="G34" i="122"/>
  <c r="D35" i="123"/>
  <c r="F35" i="123"/>
  <c r="E35" i="123"/>
  <c r="H13" i="112"/>
  <c r="H13" i="111"/>
  <c r="G7" i="123"/>
  <c r="D8" i="123"/>
  <c r="E7" i="123"/>
  <c r="D7" i="123"/>
  <c r="F8" i="123"/>
  <c r="F9" i="123"/>
  <c r="F7" i="123"/>
  <c r="G8" i="123"/>
  <c r="D9" i="123"/>
  <c r="E9" i="123"/>
  <c r="E8" i="123"/>
  <c r="G9" i="123"/>
  <c r="G6" i="123" l="1"/>
  <c r="D6" i="123"/>
  <c r="E6" i="123"/>
  <c r="F6" i="123"/>
  <c r="F10" i="123" l="1"/>
  <c r="E10" i="123"/>
  <c r="D10" i="123"/>
  <c r="G10" i="123"/>
  <c r="G12" i="123"/>
  <c r="D12" i="123"/>
  <c r="E12" i="123"/>
  <c r="F12" i="123"/>
  <c r="E13" i="123" l="1"/>
  <c r="G13" i="123"/>
  <c r="F13" i="123"/>
  <c r="D13" i="123"/>
  <c r="E36" i="123"/>
  <c r="E14" i="123"/>
  <c r="E37" i="123"/>
  <c r="F36" i="123"/>
  <c r="F37" i="123"/>
  <c r="F14" i="123"/>
  <c r="G36" i="123"/>
  <c r="G14" i="123"/>
  <c r="G37" i="123"/>
  <c r="D14" i="123"/>
  <c r="D36" i="123"/>
  <c r="D37" i="123"/>
  <c r="D5" i="123" l="1"/>
  <c r="E5" i="123"/>
  <c r="G5" i="123"/>
  <c r="F5" i="123"/>
  <c r="AU10" i="126" l="1"/>
  <c r="AT10" i="126"/>
  <c r="M7" i="126"/>
  <c r="M10" i="126" s="1"/>
  <c r="N7" i="126"/>
  <c r="N10" i="126" s="1"/>
  <c r="O10" i="126"/>
  <c r="P10" i="126"/>
  <c r="Q10" i="126"/>
  <c r="R10" i="126"/>
  <c r="AR9" i="126"/>
  <c r="AQ9" i="126"/>
  <c r="AR8" i="126"/>
  <c r="AQ8" i="126"/>
  <c r="AR7" i="126"/>
  <c r="AQ7" i="126"/>
  <c r="AP10" i="126"/>
  <c r="AO10" i="126"/>
  <c r="AN10" i="126"/>
  <c r="AM10" i="126"/>
  <c r="B6" i="127"/>
  <c r="A6" i="127"/>
  <c r="B8" i="127"/>
  <c r="B9" i="127"/>
  <c r="B7" i="127"/>
  <c r="A8" i="127"/>
  <c r="A9" i="127"/>
  <c r="A7" i="127"/>
  <c r="K56" i="47"/>
  <c r="AQ10" i="126" l="1"/>
  <c r="AR10" i="126"/>
  <c r="AQ5" i="126"/>
  <c r="A36" i="127"/>
  <c r="C223" i="47"/>
  <c r="C228" i="47"/>
  <c r="L35" i="127"/>
  <c r="F15" i="33" s="1"/>
  <c r="M35" i="127"/>
  <c r="F16" i="33" s="1"/>
  <c r="N35" i="127"/>
  <c r="F17" i="33" s="1"/>
  <c r="O35" i="127"/>
  <c r="G18" i="48" s="1"/>
  <c r="P35" i="127"/>
  <c r="G19" i="31" s="1"/>
  <c r="Q35" i="127"/>
  <c r="G20" i="31" s="1"/>
  <c r="R35" i="127"/>
  <c r="F21" i="33" s="1"/>
  <c r="S35" i="127"/>
  <c r="F22" i="33" s="1"/>
  <c r="T35" i="127"/>
  <c r="F23" i="33" s="1"/>
  <c r="U35" i="127"/>
  <c r="F24" i="33" s="1"/>
  <c r="V35" i="127"/>
  <c r="F25" i="33" s="1"/>
  <c r="W26" i="127"/>
  <c r="F17" i="31" s="1"/>
  <c r="W27" i="127"/>
  <c r="F18" i="31" s="1"/>
  <c r="W28" i="127"/>
  <c r="F19" i="31" s="1"/>
  <c r="W29" i="127"/>
  <c r="F20" i="31" s="1"/>
  <c r="W30" i="127"/>
  <c r="F21" i="31" s="1"/>
  <c r="W31" i="127"/>
  <c r="H22" i="33" s="1"/>
  <c r="W32" i="127"/>
  <c r="F23" i="31" s="1"/>
  <c r="W33" i="127"/>
  <c r="H24" i="33" s="1"/>
  <c r="W34" i="127"/>
  <c r="F25" i="31" s="1"/>
  <c r="W16" i="127"/>
  <c r="F7" i="31" s="1"/>
  <c r="W17" i="127"/>
  <c r="H8" i="33" s="1"/>
  <c r="W18" i="127"/>
  <c r="F9" i="31" s="1"/>
  <c r="W19" i="127"/>
  <c r="F10" i="31" s="1"/>
  <c r="W20" i="127"/>
  <c r="F11" i="31" s="1"/>
  <c r="W21" i="127"/>
  <c r="F12" i="31" s="1"/>
  <c r="W22" i="127"/>
  <c r="F13" i="31" s="1"/>
  <c r="W23" i="127"/>
  <c r="E14" i="44" s="1"/>
  <c r="W24" i="127"/>
  <c r="H15" i="33" s="1"/>
  <c r="W25" i="127"/>
  <c r="H16" i="33" s="1"/>
  <c r="A26" i="127"/>
  <c r="B26" i="127"/>
  <c r="N14" i="127" s="1"/>
  <c r="A27" i="127"/>
  <c r="B27" i="127"/>
  <c r="O14" i="127" s="1"/>
  <c r="A28" i="127"/>
  <c r="B28" i="127"/>
  <c r="P14" i="127" s="1"/>
  <c r="A29" i="127"/>
  <c r="B29" i="127"/>
  <c r="Q14" i="127" s="1"/>
  <c r="A30" i="127"/>
  <c r="B30" i="127"/>
  <c r="R14" i="127" s="1"/>
  <c r="A31" i="127"/>
  <c r="B31" i="127"/>
  <c r="S14" i="127" s="1"/>
  <c r="A32" i="127"/>
  <c r="B32" i="127"/>
  <c r="T14" i="127" s="1"/>
  <c r="A33" i="127"/>
  <c r="B33" i="127"/>
  <c r="U14" i="127" s="1"/>
  <c r="A34" i="127"/>
  <c r="B34" i="127"/>
  <c r="V14" i="127" s="1"/>
  <c r="A16" i="127"/>
  <c r="B16" i="127"/>
  <c r="D14" i="127" s="1"/>
  <c r="A17" i="127"/>
  <c r="B17" i="127"/>
  <c r="E14" i="127" s="1"/>
  <c r="A18" i="127"/>
  <c r="B18" i="127"/>
  <c r="F14" i="127" s="1"/>
  <c r="A19" i="127"/>
  <c r="B19" i="127"/>
  <c r="G14" i="127" s="1"/>
  <c r="A20" i="127"/>
  <c r="B20" i="127"/>
  <c r="H14" i="127" s="1"/>
  <c r="A21" i="127"/>
  <c r="B21" i="127"/>
  <c r="I14" i="127" s="1"/>
  <c r="A22" i="127"/>
  <c r="B22" i="127"/>
  <c r="A23" i="127"/>
  <c r="B23" i="127"/>
  <c r="K14" i="127" s="1"/>
  <c r="A24" i="127"/>
  <c r="B24" i="127"/>
  <c r="L14" i="127" s="1"/>
  <c r="A25" i="127"/>
  <c r="B25" i="127"/>
  <c r="M14" i="127" s="1"/>
  <c r="B15" i="127"/>
  <c r="C14" i="127" s="1"/>
  <c r="A15" i="127"/>
  <c r="A1" i="127"/>
  <c r="W15" i="127"/>
  <c r="F6" i="31" s="1"/>
  <c r="J14" i="127"/>
  <c r="C35" i="127"/>
  <c r="F6" i="33" s="1"/>
  <c r="G6" i="33" s="1"/>
  <c r="D35" i="127"/>
  <c r="F7" i="33" s="1"/>
  <c r="E35" i="127"/>
  <c r="F8" i="33" s="1"/>
  <c r="F35" i="127"/>
  <c r="F9" i="33" s="1"/>
  <c r="G35" i="127"/>
  <c r="G10" i="48" s="1"/>
  <c r="H35" i="127"/>
  <c r="G11" i="31" s="1"/>
  <c r="I35" i="127"/>
  <c r="G12" i="48" s="1"/>
  <c r="J35" i="127"/>
  <c r="F13" i="33" s="1"/>
  <c r="K35" i="127"/>
  <c r="F14" i="33" s="1"/>
  <c r="AU9" i="126"/>
  <c r="AT8" i="126"/>
  <c r="C6" i="2"/>
  <c r="D6" i="2"/>
  <c r="E6" i="2"/>
  <c r="F6" i="2"/>
  <c r="G6" i="2"/>
  <c r="K6" i="2" s="1"/>
  <c r="H6" i="2"/>
  <c r="L6" i="2" s="1"/>
  <c r="I6" i="2"/>
  <c r="J6" i="2"/>
  <c r="C7" i="2"/>
  <c r="D7" i="2"/>
  <c r="E7" i="2"/>
  <c r="K7" i="2" s="1"/>
  <c r="F7" i="2"/>
  <c r="G7" i="2"/>
  <c r="H7" i="2"/>
  <c r="L7" i="2" s="1"/>
  <c r="I7" i="2"/>
  <c r="J7" i="2"/>
  <c r="AT9" i="126"/>
  <c r="AU7" i="126"/>
  <c r="AT7" i="126"/>
  <c r="AL10" i="126"/>
  <c r="AK10" i="126"/>
  <c r="AJ10" i="126"/>
  <c r="AI10" i="126"/>
  <c r="AH10" i="126"/>
  <c r="AG10" i="126"/>
  <c r="AF10" i="126"/>
  <c r="AE10" i="126"/>
  <c r="AD10" i="126"/>
  <c r="AC10" i="126"/>
  <c r="AB10" i="126"/>
  <c r="AA10" i="126"/>
  <c r="L9" i="126"/>
  <c r="K9" i="126"/>
  <c r="J9" i="126"/>
  <c r="I9" i="126"/>
  <c r="H9" i="126"/>
  <c r="G9" i="126"/>
  <c r="F9" i="126"/>
  <c r="E9" i="126"/>
  <c r="D9" i="126"/>
  <c r="C9" i="126"/>
  <c r="L8" i="126"/>
  <c r="K8" i="126"/>
  <c r="J8" i="126"/>
  <c r="I8" i="126"/>
  <c r="H8" i="126"/>
  <c r="G8" i="126"/>
  <c r="F8" i="126"/>
  <c r="E8" i="126"/>
  <c r="D8" i="126"/>
  <c r="C8" i="126"/>
  <c r="L7" i="126"/>
  <c r="K7" i="126"/>
  <c r="J7" i="126"/>
  <c r="I7" i="126"/>
  <c r="H7" i="126"/>
  <c r="G7" i="126"/>
  <c r="F7" i="126"/>
  <c r="E7" i="126"/>
  <c r="D7" i="126"/>
  <c r="C7" i="126"/>
  <c r="AI8" i="15"/>
  <c r="AI26" i="15" s="1"/>
  <c r="AI9" i="15"/>
  <c r="AI10" i="15"/>
  <c r="AI11" i="15"/>
  <c r="AI12" i="15"/>
  <c r="AI13" i="15"/>
  <c r="AI14" i="15"/>
  <c r="AI15" i="15"/>
  <c r="AI16" i="15"/>
  <c r="AI17" i="15"/>
  <c r="AI18" i="15"/>
  <c r="AI19" i="15"/>
  <c r="AI20" i="15"/>
  <c r="AI21" i="15"/>
  <c r="AI22" i="15"/>
  <c r="AI23" i="15"/>
  <c r="AI24" i="15"/>
  <c r="AI25" i="15"/>
  <c r="AI6" i="15"/>
  <c r="AI7" i="15"/>
  <c r="AJ7" i="15" s="1"/>
  <c r="AK7" i="15" s="1"/>
  <c r="C222" i="47"/>
  <c r="B7" i="79"/>
  <c r="B8" i="79"/>
  <c r="B9" i="79"/>
  <c r="B10" i="79"/>
  <c r="B11" i="79"/>
  <c r="B12" i="79"/>
  <c r="B6" i="79"/>
  <c r="A7" i="79"/>
  <c r="A8" i="79"/>
  <c r="A9" i="79"/>
  <c r="A10" i="79"/>
  <c r="A11" i="79"/>
  <c r="A12" i="79"/>
  <c r="A6" i="79"/>
  <c r="A16" i="79"/>
  <c r="S8" i="43"/>
  <c r="T8" i="43"/>
  <c r="S9" i="43"/>
  <c r="T9" i="43"/>
  <c r="S10" i="43"/>
  <c r="T10" i="43"/>
  <c r="S11" i="43"/>
  <c r="T11" i="43"/>
  <c r="S12" i="43"/>
  <c r="T12" i="43"/>
  <c r="S13" i="43"/>
  <c r="T13" i="43"/>
  <c r="S14" i="43"/>
  <c r="T14" i="43"/>
  <c r="S15" i="43"/>
  <c r="T15" i="43"/>
  <c r="S16" i="43"/>
  <c r="T16" i="43"/>
  <c r="S17" i="43"/>
  <c r="T17" i="43"/>
  <c r="S18" i="43"/>
  <c r="T18" i="43"/>
  <c r="S19" i="43"/>
  <c r="T19" i="43"/>
  <c r="S20" i="43"/>
  <c r="T20" i="43"/>
  <c r="S21" i="43"/>
  <c r="T21" i="43"/>
  <c r="S22" i="43"/>
  <c r="T22" i="43"/>
  <c r="S23" i="43"/>
  <c r="T23" i="43"/>
  <c r="S24" i="43"/>
  <c r="T24" i="43"/>
  <c r="S25" i="43"/>
  <c r="T25" i="43"/>
  <c r="S26" i="43"/>
  <c r="T26" i="43"/>
  <c r="S27" i="43"/>
  <c r="T27" i="43"/>
  <c r="AQ28" i="43"/>
  <c r="AR28" i="43"/>
  <c r="D11" i="32"/>
  <c r="E11" i="32"/>
  <c r="F11" i="32"/>
  <c r="G11" i="32"/>
  <c r="H11" i="32"/>
  <c r="I11" i="32"/>
  <c r="J11" i="32"/>
  <c r="P11" i="32"/>
  <c r="Q11" i="32"/>
  <c r="R11" i="32"/>
  <c r="S11" i="32"/>
  <c r="T11" i="32"/>
  <c r="U11" i="32"/>
  <c r="V11" i="32"/>
  <c r="D12" i="32"/>
  <c r="E12" i="32"/>
  <c r="F12" i="32"/>
  <c r="G12" i="32"/>
  <c r="H12" i="32"/>
  <c r="I12" i="32"/>
  <c r="J12" i="32"/>
  <c r="P12" i="32"/>
  <c r="Q12" i="32"/>
  <c r="R12" i="32"/>
  <c r="S12" i="32"/>
  <c r="T12" i="32"/>
  <c r="U12" i="32"/>
  <c r="V12" i="32"/>
  <c r="D13" i="32"/>
  <c r="E13" i="32"/>
  <c r="F13" i="32"/>
  <c r="G13" i="32"/>
  <c r="H13" i="32"/>
  <c r="I13" i="32"/>
  <c r="J13" i="32"/>
  <c r="P13" i="32"/>
  <c r="Q13" i="32"/>
  <c r="R13" i="32"/>
  <c r="S13" i="32"/>
  <c r="T13" i="32"/>
  <c r="U13" i="32"/>
  <c r="V13" i="32"/>
  <c r="D14" i="32"/>
  <c r="E14" i="32"/>
  <c r="F14" i="32"/>
  <c r="G14" i="32"/>
  <c r="H14" i="32"/>
  <c r="I14" i="32"/>
  <c r="J14" i="32"/>
  <c r="P14" i="32"/>
  <c r="Q14" i="32"/>
  <c r="R14" i="32"/>
  <c r="S14" i="32"/>
  <c r="T14" i="32"/>
  <c r="U14" i="32"/>
  <c r="V14" i="32"/>
  <c r="D15" i="32"/>
  <c r="E15" i="32"/>
  <c r="F15" i="32"/>
  <c r="G15" i="32"/>
  <c r="H15" i="32"/>
  <c r="I15" i="32"/>
  <c r="J15" i="32"/>
  <c r="P15" i="32"/>
  <c r="Q15" i="32"/>
  <c r="R15" i="32"/>
  <c r="S15" i="32"/>
  <c r="T15" i="32"/>
  <c r="U15" i="32"/>
  <c r="V15" i="32"/>
  <c r="D16" i="32"/>
  <c r="E16" i="32"/>
  <c r="F16" i="32"/>
  <c r="G16" i="32"/>
  <c r="H16" i="32"/>
  <c r="I16" i="32"/>
  <c r="J16" i="32"/>
  <c r="P16" i="32"/>
  <c r="Q16" i="32"/>
  <c r="R16" i="32"/>
  <c r="S16" i="32"/>
  <c r="T16" i="32"/>
  <c r="U16" i="32"/>
  <c r="V16" i="32"/>
  <c r="D17" i="32"/>
  <c r="E17" i="32"/>
  <c r="F17" i="32"/>
  <c r="G17" i="32"/>
  <c r="H17" i="32"/>
  <c r="I17" i="32"/>
  <c r="J17" i="32"/>
  <c r="P17" i="32"/>
  <c r="Q17" i="32"/>
  <c r="R17" i="32"/>
  <c r="S17" i="32"/>
  <c r="T17" i="32"/>
  <c r="U17" i="32"/>
  <c r="V17" i="32"/>
  <c r="D18" i="32"/>
  <c r="E18" i="32"/>
  <c r="F18" i="32"/>
  <c r="G18" i="32"/>
  <c r="H18" i="32"/>
  <c r="I18" i="32"/>
  <c r="J18" i="32"/>
  <c r="P18" i="32"/>
  <c r="Q18" i="32"/>
  <c r="R18" i="32"/>
  <c r="S18" i="32"/>
  <c r="T18" i="32"/>
  <c r="U18" i="32"/>
  <c r="V18" i="32"/>
  <c r="D19" i="32"/>
  <c r="E19" i="32"/>
  <c r="F19" i="32"/>
  <c r="G19" i="32"/>
  <c r="H19" i="32"/>
  <c r="I19" i="32"/>
  <c r="J19" i="32"/>
  <c r="P19" i="32"/>
  <c r="Q19" i="32"/>
  <c r="R19" i="32"/>
  <c r="S19" i="32"/>
  <c r="T19" i="32"/>
  <c r="U19" i="32"/>
  <c r="V19" i="32"/>
  <c r="D20" i="32"/>
  <c r="E20" i="32"/>
  <c r="F20" i="32"/>
  <c r="G20" i="32"/>
  <c r="H20" i="32"/>
  <c r="I20" i="32"/>
  <c r="J20" i="32"/>
  <c r="P20" i="32"/>
  <c r="Q20" i="32"/>
  <c r="R20" i="32"/>
  <c r="S20" i="32"/>
  <c r="T20" i="32"/>
  <c r="U20" i="32"/>
  <c r="V20" i="32"/>
  <c r="D21" i="32"/>
  <c r="E21" i="32"/>
  <c r="F21" i="32"/>
  <c r="G21" i="32"/>
  <c r="H21" i="32"/>
  <c r="I21" i="32"/>
  <c r="J21" i="32"/>
  <c r="P21" i="32"/>
  <c r="Q21" i="32"/>
  <c r="R21" i="32"/>
  <c r="S21" i="32"/>
  <c r="T21" i="32"/>
  <c r="U21" i="32"/>
  <c r="V21" i="32"/>
  <c r="D22" i="32"/>
  <c r="E22" i="32"/>
  <c r="F22" i="32"/>
  <c r="G22" i="32"/>
  <c r="H22" i="32"/>
  <c r="I22" i="32"/>
  <c r="J22" i="32"/>
  <c r="P22" i="32"/>
  <c r="Q22" i="32"/>
  <c r="R22" i="32"/>
  <c r="S22" i="32"/>
  <c r="T22" i="32"/>
  <c r="U22" i="32"/>
  <c r="V22" i="32"/>
  <c r="D23" i="32"/>
  <c r="E23" i="32"/>
  <c r="F23" i="32"/>
  <c r="G23" i="32"/>
  <c r="H23" i="32"/>
  <c r="I23" i="32"/>
  <c r="J23" i="32"/>
  <c r="P23" i="32"/>
  <c r="Q23" i="32"/>
  <c r="R23" i="32"/>
  <c r="S23" i="32"/>
  <c r="T23" i="32"/>
  <c r="U23" i="32"/>
  <c r="V23" i="32"/>
  <c r="D24" i="32"/>
  <c r="E24" i="32"/>
  <c r="F24" i="32"/>
  <c r="G24" i="32"/>
  <c r="H24" i="32"/>
  <c r="I24" i="32"/>
  <c r="J24" i="32"/>
  <c r="P24" i="32"/>
  <c r="Q24" i="32"/>
  <c r="R24" i="32"/>
  <c r="S24" i="32"/>
  <c r="T24" i="32"/>
  <c r="U24" i="32"/>
  <c r="V24" i="32"/>
  <c r="D25" i="32"/>
  <c r="E25" i="32"/>
  <c r="F25" i="32"/>
  <c r="G25" i="32"/>
  <c r="H25" i="32"/>
  <c r="I25" i="32"/>
  <c r="J25" i="32"/>
  <c r="P25" i="32"/>
  <c r="Q25" i="32"/>
  <c r="R25" i="32"/>
  <c r="S25" i="32"/>
  <c r="T25" i="32"/>
  <c r="U25" i="32"/>
  <c r="V25" i="32"/>
  <c r="D26" i="32"/>
  <c r="E26" i="32"/>
  <c r="F26" i="32"/>
  <c r="G26" i="32"/>
  <c r="H26" i="32"/>
  <c r="I26" i="32"/>
  <c r="J26" i="32"/>
  <c r="P26" i="32"/>
  <c r="Q26" i="32"/>
  <c r="R26" i="32"/>
  <c r="S26" i="32"/>
  <c r="T26" i="32"/>
  <c r="U26" i="32"/>
  <c r="V26" i="32"/>
  <c r="D27" i="32"/>
  <c r="E27" i="32"/>
  <c r="F27" i="32"/>
  <c r="G27" i="32"/>
  <c r="H27" i="32"/>
  <c r="I27" i="32"/>
  <c r="J27" i="32"/>
  <c r="P27" i="32"/>
  <c r="Q27" i="32"/>
  <c r="R27" i="32"/>
  <c r="S27" i="32"/>
  <c r="T27" i="32"/>
  <c r="U27" i="32"/>
  <c r="V27" i="32"/>
  <c r="C10" i="79"/>
  <c r="E10" i="79" s="1"/>
  <c r="D10" i="79"/>
  <c r="C6" i="79"/>
  <c r="C225" i="47"/>
  <c r="C13" i="53"/>
  <c r="C14" i="53"/>
  <c r="C15" i="53"/>
  <c r="C16" i="53"/>
  <c r="C17" i="53"/>
  <c r="C18" i="53"/>
  <c r="C12" i="53"/>
  <c r="A13" i="53"/>
  <c r="A14" i="53"/>
  <c r="A15" i="53"/>
  <c r="A16" i="53"/>
  <c r="A17" i="53"/>
  <c r="A18" i="53"/>
  <c r="A12" i="53"/>
  <c r="C24" i="125"/>
  <c r="D24" i="125"/>
  <c r="E24" i="125"/>
  <c r="F24" i="125"/>
  <c r="G24" i="125"/>
  <c r="H24" i="125"/>
  <c r="I24" i="125"/>
  <c r="J24" i="125"/>
  <c r="K24" i="125"/>
  <c r="L24" i="125"/>
  <c r="C25" i="125"/>
  <c r="D25" i="125"/>
  <c r="E25" i="125"/>
  <c r="F25" i="125"/>
  <c r="G25" i="125"/>
  <c r="H25" i="125"/>
  <c r="I25" i="125"/>
  <c r="J25" i="125"/>
  <c r="K25" i="125"/>
  <c r="L25" i="125"/>
  <c r="C26" i="125"/>
  <c r="D26" i="125"/>
  <c r="E26" i="125"/>
  <c r="F26" i="125"/>
  <c r="G26" i="125"/>
  <c r="H26" i="125"/>
  <c r="I26" i="125"/>
  <c r="J26" i="125"/>
  <c r="K26" i="125"/>
  <c r="L26" i="125"/>
  <c r="C27" i="125"/>
  <c r="D27" i="125"/>
  <c r="E27" i="125"/>
  <c r="F27" i="125"/>
  <c r="G27" i="125"/>
  <c r="H27" i="125"/>
  <c r="I27" i="125"/>
  <c r="J27" i="125"/>
  <c r="K27" i="125"/>
  <c r="L27" i="125"/>
  <c r="C28" i="125"/>
  <c r="D28" i="125"/>
  <c r="E28" i="125"/>
  <c r="F28" i="125"/>
  <c r="G28" i="125"/>
  <c r="H28" i="125"/>
  <c r="I28" i="125"/>
  <c r="J28" i="125"/>
  <c r="K28" i="125"/>
  <c r="L28" i="125"/>
  <c r="C7" i="125"/>
  <c r="C7" i="79"/>
  <c r="D7" i="125"/>
  <c r="D7" i="79" s="1"/>
  <c r="E7" i="125"/>
  <c r="F7" i="125"/>
  <c r="G7" i="125"/>
  <c r="H7" i="125"/>
  <c r="I7" i="125"/>
  <c r="J7" i="125"/>
  <c r="C8" i="125"/>
  <c r="C8" i="79" s="1"/>
  <c r="D8" i="125"/>
  <c r="D8" i="79" s="1"/>
  <c r="E8" i="125"/>
  <c r="F8" i="125"/>
  <c r="G8" i="125"/>
  <c r="H8" i="125"/>
  <c r="H13" i="125" s="1"/>
  <c r="I8" i="125"/>
  <c r="J8" i="125"/>
  <c r="C9" i="125"/>
  <c r="C9" i="79" s="1"/>
  <c r="E9" i="79" s="1"/>
  <c r="D9" i="125"/>
  <c r="D9" i="79" s="1"/>
  <c r="E9" i="125"/>
  <c r="F9" i="125"/>
  <c r="G9" i="125"/>
  <c r="H9" i="125"/>
  <c r="I9" i="125"/>
  <c r="J9" i="125"/>
  <c r="C10" i="125"/>
  <c r="D10" i="125"/>
  <c r="E10" i="125"/>
  <c r="F10" i="125"/>
  <c r="G10" i="125"/>
  <c r="H10" i="125"/>
  <c r="I10" i="125"/>
  <c r="J10" i="125"/>
  <c r="C11" i="125"/>
  <c r="C11" i="79" s="1"/>
  <c r="D11" i="125"/>
  <c r="D11" i="79" s="1"/>
  <c r="E11" i="125"/>
  <c r="F11" i="125"/>
  <c r="G11" i="125"/>
  <c r="H11" i="125"/>
  <c r="I11" i="125"/>
  <c r="J11" i="125"/>
  <c r="D13" i="125"/>
  <c r="C6" i="125"/>
  <c r="C13" i="125" s="1"/>
  <c r="B13" i="35" s="1"/>
  <c r="D6" i="125"/>
  <c r="D6" i="79" s="1"/>
  <c r="E6" i="125"/>
  <c r="F6" i="125"/>
  <c r="G6" i="125"/>
  <c r="H6" i="125"/>
  <c r="I6" i="125"/>
  <c r="J6" i="125"/>
  <c r="C12" i="125"/>
  <c r="C12" i="79" s="1"/>
  <c r="D12" i="125"/>
  <c r="D12" i="79" s="1"/>
  <c r="E12" i="125"/>
  <c r="F12" i="125"/>
  <c r="G12" i="125"/>
  <c r="H12" i="125"/>
  <c r="I12" i="125"/>
  <c r="J12" i="125"/>
  <c r="AA13" i="125"/>
  <c r="AB13" i="125"/>
  <c r="AC13" i="125"/>
  <c r="AD13" i="125"/>
  <c r="AE13" i="125"/>
  <c r="AF13" i="125"/>
  <c r="AG13" i="125"/>
  <c r="AH13" i="125"/>
  <c r="C23" i="125"/>
  <c r="D23" i="125"/>
  <c r="E23" i="125"/>
  <c r="F23" i="125"/>
  <c r="G23" i="125"/>
  <c r="H23" i="125"/>
  <c r="I23" i="125"/>
  <c r="J23" i="125"/>
  <c r="K23" i="125"/>
  <c r="L23" i="125"/>
  <c r="C29" i="125"/>
  <c r="D29" i="125"/>
  <c r="E29" i="125"/>
  <c r="F29" i="125"/>
  <c r="G29" i="125"/>
  <c r="H29" i="125"/>
  <c r="I29" i="125"/>
  <c r="J29" i="125"/>
  <c r="K29" i="125"/>
  <c r="L29" i="125"/>
  <c r="AA30" i="125"/>
  <c r="AB30" i="125"/>
  <c r="AC30" i="125"/>
  <c r="AD30" i="125"/>
  <c r="AE30" i="125"/>
  <c r="AF30" i="125"/>
  <c r="AG30" i="125"/>
  <c r="AH30" i="125"/>
  <c r="AI30" i="125"/>
  <c r="AJ30" i="125"/>
  <c r="E1" i="124"/>
  <c r="D3" i="124" s="1"/>
  <c r="G6" i="15"/>
  <c r="G7" i="15"/>
  <c r="G8" i="15"/>
  <c r="G9" i="15"/>
  <c r="G10" i="15"/>
  <c r="G11" i="15"/>
  <c r="G12" i="15"/>
  <c r="G13" i="15"/>
  <c r="G14" i="15"/>
  <c r="G15" i="15"/>
  <c r="G16" i="15"/>
  <c r="G17" i="15"/>
  <c r="G18" i="15"/>
  <c r="G19" i="15"/>
  <c r="G20" i="15"/>
  <c r="G21" i="15"/>
  <c r="G22" i="15"/>
  <c r="G23" i="15"/>
  <c r="G24" i="15"/>
  <c r="G25" i="15"/>
  <c r="AE26" i="15"/>
  <c r="A21" i="91"/>
  <c r="B21" i="91"/>
  <c r="F21" i="91"/>
  <c r="A22" i="91"/>
  <c r="B22" i="91"/>
  <c r="F22" i="91"/>
  <c r="A23" i="91"/>
  <c r="B23" i="91"/>
  <c r="F23" i="91"/>
  <c r="A24" i="91"/>
  <c r="B24" i="91"/>
  <c r="F24" i="91"/>
  <c r="A21" i="64"/>
  <c r="B21" i="64"/>
  <c r="A22" i="64"/>
  <c r="B22" i="64"/>
  <c r="A23" i="64"/>
  <c r="B23" i="64"/>
  <c r="A24" i="64"/>
  <c r="B24" i="64"/>
  <c r="A25" i="64"/>
  <c r="B25" i="64"/>
  <c r="A21" i="48"/>
  <c r="B21" i="48"/>
  <c r="E21" i="48"/>
  <c r="A22" i="48"/>
  <c r="B22" i="48"/>
  <c r="E22" i="48"/>
  <c r="A23" i="48"/>
  <c r="B23" i="48"/>
  <c r="E23" i="48"/>
  <c r="A24" i="48"/>
  <c r="B24" i="48"/>
  <c r="E24" i="48"/>
  <c r="A25" i="48"/>
  <c r="B25" i="48"/>
  <c r="E25" i="48"/>
  <c r="A21" i="45"/>
  <c r="B21" i="45"/>
  <c r="A22" i="45"/>
  <c r="B22" i="45"/>
  <c r="A23" i="45"/>
  <c r="B23" i="45"/>
  <c r="A24" i="45"/>
  <c r="B24" i="45"/>
  <c r="A21" i="44"/>
  <c r="B21" i="44"/>
  <c r="A22" i="44"/>
  <c r="B22" i="44"/>
  <c r="A23" i="44"/>
  <c r="B23" i="44"/>
  <c r="A24" i="44"/>
  <c r="B24" i="44"/>
  <c r="A25" i="44"/>
  <c r="B25" i="44"/>
  <c r="A21" i="29"/>
  <c r="B21" i="29"/>
  <c r="A22" i="29"/>
  <c r="B22" i="29"/>
  <c r="A23" i="29"/>
  <c r="B23" i="29"/>
  <c r="A24" i="29"/>
  <c r="B24" i="29"/>
  <c r="A25" i="29"/>
  <c r="B25" i="29"/>
  <c r="A21" i="33"/>
  <c r="B21" i="33"/>
  <c r="A22" i="33"/>
  <c r="B22" i="33"/>
  <c r="A23" i="33"/>
  <c r="B23" i="33"/>
  <c r="A24" i="33"/>
  <c r="B24" i="33"/>
  <c r="A25" i="33"/>
  <c r="B25" i="33"/>
  <c r="A23" i="32"/>
  <c r="B23" i="32"/>
  <c r="A24" i="32"/>
  <c r="B24" i="32"/>
  <c r="A25" i="32"/>
  <c r="B25" i="32"/>
  <c r="A26" i="32"/>
  <c r="B26" i="32"/>
  <c r="A27" i="32"/>
  <c r="B27" i="32"/>
  <c r="A22" i="30"/>
  <c r="B22" i="30"/>
  <c r="A23" i="30"/>
  <c r="B23" i="30"/>
  <c r="A24" i="30"/>
  <c r="B24" i="30"/>
  <c r="A25" i="30"/>
  <c r="B25" i="30"/>
  <c r="A26" i="30"/>
  <c r="B26" i="30"/>
  <c r="A21" i="31"/>
  <c r="B21" i="31"/>
  <c r="C21" i="31"/>
  <c r="A22" i="31"/>
  <c r="B22" i="31"/>
  <c r="A23" i="31"/>
  <c r="B23" i="31"/>
  <c r="A24" i="31"/>
  <c r="B24" i="31"/>
  <c r="A21" i="58"/>
  <c r="B21" i="58"/>
  <c r="A22" i="58"/>
  <c r="B22" i="58"/>
  <c r="A23" i="58"/>
  <c r="B23" i="58"/>
  <c r="A24" i="58"/>
  <c r="B24" i="58"/>
  <c r="A25" i="58"/>
  <c r="B25" i="58"/>
  <c r="A21" i="14"/>
  <c r="B21" i="14"/>
  <c r="C21" i="14"/>
  <c r="D21" i="14"/>
  <c r="E21" i="14"/>
  <c r="F21" i="14"/>
  <c r="G21" i="14"/>
  <c r="H21" i="14"/>
  <c r="I21" i="14"/>
  <c r="J21" i="14"/>
  <c r="K21" i="14"/>
  <c r="L21" i="14"/>
  <c r="M21" i="14"/>
  <c r="N21" i="14"/>
  <c r="O21" i="14"/>
  <c r="Q21" i="14"/>
  <c r="R21" i="14"/>
  <c r="S21" i="14"/>
  <c r="D21" i="64" s="1"/>
  <c r="T21" i="14"/>
  <c r="G21" i="64" s="1"/>
  <c r="U21" i="14"/>
  <c r="AT21" i="14"/>
  <c r="AU21" i="14"/>
  <c r="A22" i="14"/>
  <c r="B22" i="14"/>
  <c r="C22" i="14"/>
  <c r="D22" i="14"/>
  <c r="E22" i="14"/>
  <c r="F22" i="14"/>
  <c r="G22" i="14"/>
  <c r="H22" i="14"/>
  <c r="I22" i="14"/>
  <c r="J22" i="14"/>
  <c r="K22" i="14"/>
  <c r="L22" i="14"/>
  <c r="M22" i="14"/>
  <c r="N22" i="14"/>
  <c r="O22" i="14"/>
  <c r="Q22" i="14"/>
  <c r="R22" i="14"/>
  <c r="S22" i="14"/>
  <c r="D22" i="64" s="1"/>
  <c r="T22" i="14"/>
  <c r="G22" i="64" s="1"/>
  <c r="U22" i="14"/>
  <c r="AT22" i="14"/>
  <c r="AU22" i="14"/>
  <c r="A23" i="14"/>
  <c r="B23" i="14"/>
  <c r="C23" i="14"/>
  <c r="D23" i="14"/>
  <c r="E23" i="14"/>
  <c r="F23" i="14"/>
  <c r="G23" i="14"/>
  <c r="H23" i="14"/>
  <c r="I23" i="14"/>
  <c r="J23" i="14"/>
  <c r="K23" i="14"/>
  <c r="L23" i="14"/>
  <c r="M23" i="14"/>
  <c r="N23" i="14"/>
  <c r="O23" i="14"/>
  <c r="Q23" i="14"/>
  <c r="R23" i="14"/>
  <c r="S23" i="14"/>
  <c r="D23" i="64" s="1"/>
  <c r="T23" i="14"/>
  <c r="G23" i="64" s="1"/>
  <c r="U23" i="14"/>
  <c r="AT23" i="14"/>
  <c r="AU23" i="14"/>
  <c r="A24" i="14"/>
  <c r="B24" i="14"/>
  <c r="C24" i="14"/>
  <c r="D24" i="14"/>
  <c r="E24" i="14"/>
  <c r="F24" i="14"/>
  <c r="G24" i="14"/>
  <c r="H24" i="14"/>
  <c r="I24" i="14"/>
  <c r="J24" i="14"/>
  <c r="K24" i="14"/>
  <c r="L24" i="14"/>
  <c r="M24" i="14"/>
  <c r="N24" i="14"/>
  <c r="O24" i="14"/>
  <c r="Q24" i="14"/>
  <c r="R24" i="14"/>
  <c r="S24" i="14"/>
  <c r="D24" i="64" s="1"/>
  <c r="T24" i="14"/>
  <c r="G24" i="64" s="1"/>
  <c r="U24" i="14"/>
  <c r="AT24" i="14"/>
  <c r="AU24" i="14"/>
  <c r="A25" i="14"/>
  <c r="B25" i="14"/>
  <c r="C25" i="14"/>
  <c r="D25" i="14"/>
  <c r="E25" i="14"/>
  <c r="F25" i="14"/>
  <c r="G25" i="14"/>
  <c r="H25" i="14"/>
  <c r="I25" i="14"/>
  <c r="J25" i="14"/>
  <c r="K25" i="14"/>
  <c r="L25" i="14"/>
  <c r="M25" i="14"/>
  <c r="N25" i="14"/>
  <c r="O25" i="14"/>
  <c r="Q25" i="14"/>
  <c r="R25" i="14"/>
  <c r="S25" i="14"/>
  <c r="D25" i="64" s="1"/>
  <c r="T25" i="14"/>
  <c r="G25" i="64" s="1"/>
  <c r="U25" i="14"/>
  <c r="AT25" i="14"/>
  <c r="AU25" i="14"/>
  <c r="A21" i="15"/>
  <c r="B21" i="15"/>
  <c r="C21" i="15"/>
  <c r="F21" i="44" s="1"/>
  <c r="D21" i="15"/>
  <c r="E21" i="15"/>
  <c r="F21" i="15"/>
  <c r="H21" i="15"/>
  <c r="I21" i="15"/>
  <c r="J21" i="15"/>
  <c r="AO21" i="15"/>
  <c r="AQ21" i="15"/>
  <c r="AP21" i="15"/>
  <c r="A22" i="15"/>
  <c r="B22" i="15"/>
  <c r="C22" i="15"/>
  <c r="F22" i="44" s="1"/>
  <c r="D22" i="15"/>
  <c r="E22" i="15"/>
  <c r="F22" i="15"/>
  <c r="H22" i="15"/>
  <c r="I22" i="15"/>
  <c r="J22" i="15"/>
  <c r="AO22" i="15"/>
  <c r="AP22" i="15"/>
  <c r="A23" i="15"/>
  <c r="B23" i="15"/>
  <c r="C23" i="15"/>
  <c r="D23" i="45" s="1"/>
  <c r="D23" i="15"/>
  <c r="D23" i="29" s="1"/>
  <c r="E23" i="15"/>
  <c r="F23" i="15"/>
  <c r="H23" i="15"/>
  <c r="I23" i="15"/>
  <c r="J23" i="15"/>
  <c r="AO23" i="15"/>
  <c r="AP23" i="15"/>
  <c r="AQ23" i="15" s="1"/>
  <c r="A24" i="15"/>
  <c r="B24" i="15"/>
  <c r="C24" i="15"/>
  <c r="E24" i="91" s="1"/>
  <c r="D24" i="15"/>
  <c r="D24" i="29" s="1"/>
  <c r="E24" i="15"/>
  <c r="F24" i="15"/>
  <c r="H24" i="15"/>
  <c r="I24" i="15"/>
  <c r="J24" i="15"/>
  <c r="AO24" i="15"/>
  <c r="AQ24" i="15" s="1"/>
  <c r="AP24" i="15"/>
  <c r="A25" i="15"/>
  <c r="B25" i="15"/>
  <c r="C25" i="15"/>
  <c r="E25" i="58"/>
  <c r="D25" i="15"/>
  <c r="D25" i="29" s="1"/>
  <c r="E25" i="15"/>
  <c r="F25" i="15"/>
  <c r="H25" i="15"/>
  <c r="I25" i="15"/>
  <c r="J25" i="15"/>
  <c r="AO25" i="15"/>
  <c r="AP25" i="15"/>
  <c r="A23" i="43"/>
  <c r="B23" i="43"/>
  <c r="C23" i="43"/>
  <c r="D23" i="43"/>
  <c r="E23" i="43"/>
  <c r="F23" i="43"/>
  <c r="G23" i="43"/>
  <c r="H23" i="43"/>
  <c r="I23" i="43"/>
  <c r="J23" i="43"/>
  <c r="K23" i="43"/>
  <c r="L23" i="43"/>
  <c r="M23" i="43"/>
  <c r="N23" i="43"/>
  <c r="O23" i="43"/>
  <c r="P23" i="43"/>
  <c r="Q23" i="43"/>
  <c r="R23" i="43"/>
  <c r="U23" i="43"/>
  <c r="V23" i="43"/>
  <c r="AW23" i="43"/>
  <c r="A24" i="43"/>
  <c r="B24" i="43"/>
  <c r="C24" i="43"/>
  <c r="D24" i="43"/>
  <c r="E24" i="43"/>
  <c r="F24" i="43"/>
  <c r="G24" i="43"/>
  <c r="H24" i="43"/>
  <c r="I24" i="43"/>
  <c r="J24" i="43"/>
  <c r="K24" i="43"/>
  <c r="L24" i="43"/>
  <c r="M24" i="43"/>
  <c r="N24" i="43"/>
  <c r="O24" i="43"/>
  <c r="P24" i="43"/>
  <c r="Q24" i="43"/>
  <c r="R24" i="43"/>
  <c r="U24" i="43"/>
  <c r="V24" i="43"/>
  <c r="AW24" i="43"/>
  <c r="A25" i="43"/>
  <c r="B25" i="43"/>
  <c r="C25" i="43"/>
  <c r="D25" i="43"/>
  <c r="E25" i="43"/>
  <c r="F25" i="43"/>
  <c r="G25" i="43"/>
  <c r="H25" i="43"/>
  <c r="I25" i="43"/>
  <c r="J25" i="43"/>
  <c r="K25" i="43"/>
  <c r="L25" i="43"/>
  <c r="M25" i="43"/>
  <c r="N25" i="43"/>
  <c r="O25" i="43"/>
  <c r="P25" i="43"/>
  <c r="Q25" i="43"/>
  <c r="R25" i="43"/>
  <c r="U25" i="43"/>
  <c r="V25" i="43"/>
  <c r="AW25" i="43"/>
  <c r="A26" i="43"/>
  <c r="B26" i="43"/>
  <c r="C26" i="43"/>
  <c r="D26" i="43"/>
  <c r="E26" i="43"/>
  <c r="F26" i="43"/>
  <c r="G26" i="43"/>
  <c r="H26" i="43"/>
  <c r="I26" i="43"/>
  <c r="J26" i="43"/>
  <c r="K26" i="43"/>
  <c r="L26" i="43"/>
  <c r="M26" i="43"/>
  <c r="N26" i="43"/>
  <c r="O26" i="43"/>
  <c r="P26" i="43"/>
  <c r="Q26" i="43"/>
  <c r="R26" i="43"/>
  <c r="U26" i="43"/>
  <c r="V26" i="43"/>
  <c r="AW26" i="43"/>
  <c r="A27" i="43"/>
  <c r="B27" i="43"/>
  <c r="C27" i="43"/>
  <c r="D27" i="43"/>
  <c r="E27" i="43"/>
  <c r="F27" i="43"/>
  <c r="G27" i="43"/>
  <c r="H27" i="43"/>
  <c r="I27" i="43"/>
  <c r="J27" i="43"/>
  <c r="K27" i="43"/>
  <c r="L27" i="43"/>
  <c r="M27" i="43"/>
  <c r="N27" i="43"/>
  <c r="O27" i="43"/>
  <c r="P27" i="43"/>
  <c r="Q27" i="43"/>
  <c r="R27" i="43"/>
  <c r="U27" i="43"/>
  <c r="V27" i="43"/>
  <c r="AW27" i="43"/>
  <c r="A21" i="18"/>
  <c r="B21" i="18"/>
  <c r="AU21" i="18"/>
  <c r="L23" i="32" s="1"/>
  <c r="AV21" i="18"/>
  <c r="X23" i="32" s="1"/>
  <c r="A22" i="18"/>
  <c r="B22" i="18"/>
  <c r="AU22" i="18"/>
  <c r="L24" i="32" s="1"/>
  <c r="AV22" i="18"/>
  <c r="X24" i="32" s="1"/>
  <c r="A23" i="18"/>
  <c r="B23" i="18"/>
  <c r="AU23" i="18"/>
  <c r="L25" i="32" s="1"/>
  <c r="AV23" i="18"/>
  <c r="X25" i="32" s="1"/>
  <c r="A24" i="18"/>
  <c r="B24" i="18"/>
  <c r="AU24" i="18"/>
  <c r="L26" i="32" s="1"/>
  <c r="AV24" i="18"/>
  <c r="X26" i="32" s="1"/>
  <c r="A25" i="18"/>
  <c r="B25" i="18"/>
  <c r="AU25" i="18"/>
  <c r="L27" i="32" s="1"/>
  <c r="AV25" i="18"/>
  <c r="X27" i="32" s="1"/>
  <c r="A21" i="5"/>
  <c r="B21" i="5"/>
  <c r="AA21" i="5"/>
  <c r="E22" i="30" s="1"/>
  <c r="AB21" i="5"/>
  <c r="J22" i="30" s="1"/>
  <c r="A22" i="5"/>
  <c r="B22" i="5"/>
  <c r="AA22" i="5"/>
  <c r="E23" i="30" s="1"/>
  <c r="AB22" i="5"/>
  <c r="J23" i="30" s="1"/>
  <c r="A23" i="5"/>
  <c r="B23" i="5"/>
  <c r="AA23" i="5"/>
  <c r="E24" i="30" s="1"/>
  <c r="AB23" i="5"/>
  <c r="J24" i="30" s="1"/>
  <c r="A24" i="5"/>
  <c r="B24" i="5"/>
  <c r="AA24" i="5"/>
  <c r="E25" i="30" s="1"/>
  <c r="AB24" i="5"/>
  <c r="J25" i="30"/>
  <c r="A25" i="5"/>
  <c r="B25" i="5"/>
  <c r="AA25" i="5"/>
  <c r="E26" i="30" s="1"/>
  <c r="AB25" i="5"/>
  <c r="J26" i="30" s="1"/>
  <c r="A21" i="4"/>
  <c r="B21" i="4"/>
  <c r="O21" i="4"/>
  <c r="F22" i="30" s="1"/>
  <c r="P21" i="4"/>
  <c r="K22" i="30" s="1"/>
  <c r="A22" i="4"/>
  <c r="B22" i="4"/>
  <c r="O22" i="4"/>
  <c r="F23" i="30" s="1"/>
  <c r="P22" i="4"/>
  <c r="K23" i="30" s="1"/>
  <c r="A23" i="4"/>
  <c r="B23" i="4"/>
  <c r="O23" i="4"/>
  <c r="F24" i="30" s="1"/>
  <c r="P23" i="4"/>
  <c r="K24" i="30"/>
  <c r="A24" i="4"/>
  <c r="B24" i="4"/>
  <c r="O24" i="4"/>
  <c r="F25" i="30"/>
  <c r="P24" i="4"/>
  <c r="K25" i="30" s="1"/>
  <c r="A25" i="4"/>
  <c r="B25" i="4"/>
  <c r="O25" i="4"/>
  <c r="F26" i="30" s="1"/>
  <c r="P25" i="4"/>
  <c r="K26" i="30" s="1"/>
  <c r="A21" i="6"/>
  <c r="B21" i="6"/>
  <c r="W21" i="6"/>
  <c r="D22" i="30" s="1"/>
  <c r="X21" i="6"/>
  <c r="I22" i="30" s="1"/>
  <c r="A22" i="6"/>
  <c r="B22" i="6"/>
  <c r="W22" i="6"/>
  <c r="D23" i="30" s="1"/>
  <c r="X22" i="6"/>
  <c r="I23" i="30" s="1"/>
  <c r="A23" i="6"/>
  <c r="B23" i="6"/>
  <c r="W23" i="6"/>
  <c r="D24" i="30" s="1"/>
  <c r="X23" i="6"/>
  <c r="I24" i="30" s="1"/>
  <c r="A24" i="6"/>
  <c r="B24" i="6"/>
  <c r="W24" i="6"/>
  <c r="D25" i="30"/>
  <c r="X24" i="6"/>
  <c r="I25" i="30" s="1"/>
  <c r="A25" i="6"/>
  <c r="B25" i="6"/>
  <c r="W25" i="6"/>
  <c r="D26" i="30" s="1"/>
  <c r="X25" i="6"/>
  <c r="I26" i="30"/>
  <c r="A22" i="7"/>
  <c r="B22" i="7"/>
  <c r="U22" i="7"/>
  <c r="E21" i="33" s="1"/>
  <c r="V22" i="7"/>
  <c r="A23" i="7"/>
  <c r="B23" i="7"/>
  <c r="U23" i="7"/>
  <c r="E22" i="31" s="1"/>
  <c r="V23" i="7"/>
  <c r="E22" i="33" s="1"/>
  <c r="A24" i="7"/>
  <c r="B24" i="7"/>
  <c r="U24" i="7"/>
  <c r="E23" i="31" s="1"/>
  <c r="V24" i="7"/>
  <c r="A25" i="7"/>
  <c r="B25" i="7"/>
  <c r="U25" i="7"/>
  <c r="V25" i="7"/>
  <c r="E24" i="31" s="1"/>
  <c r="A26" i="7"/>
  <c r="B26" i="7"/>
  <c r="U26" i="7"/>
  <c r="E25" i="31" s="1"/>
  <c r="V26" i="7"/>
  <c r="A22" i="8"/>
  <c r="B22" i="8"/>
  <c r="U22" i="8"/>
  <c r="D21" i="33" s="1"/>
  <c r="V22" i="8"/>
  <c r="A23" i="8"/>
  <c r="B23" i="8"/>
  <c r="U23" i="8"/>
  <c r="H22" i="48" s="1"/>
  <c r="V23" i="8"/>
  <c r="A24" i="8"/>
  <c r="B24" i="8"/>
  <c r="U24" i="8"/>
  <c r="D23" i="31" s="1"/>
  <c r="V24" i="8"/>
  <c r="A25" i="8"/>
  <c r="B25" i="8"/>
  <c r="U25" i="8"/>
  <c r="D24" i="44" s="1"/>
  <c r="V25" i="8"/>
  <c r="A26" i="8"/>
  <c r="B26" i="8"/>
  <c r="U26" i="8"/>
  <c r="D25" i="33" s="1"/>
  <c r="V26" i="8"/>
  <c r="A21" i="20"/>
  <c r="B21" i="20"/>
  <c r="A22" i="20"/>
  <c r="B22" i="20"/>
  <c r="A23" i="20"/>
  <c r="B23" i="20"/>
  <c r="A24" i="20"/>
  <c r="B24" i="20"/>
  <c r="A25" i="20"/>
  <c r="B25" i="20"/>
  <c r="E11" i="79"/>
  <c r="G11" i="79"/>
  <c r="I11" i="79"/>
  <c r="H11" i="79"/>
  <c r="L11" i="79" s="1"/>
  <c r="C21" i="2"/>
  <c r="D21" i="2"/>
  <c r="E21" i="2"/>
  <c r="F21" i="2"/>
  <c r="G21" i="2"/>
  <c r="H21" i="2"/>
  <c r="I21" i="2"/>
  <c r="J21" i="2"/>
  <c r="AI21" i="2"/>
  <c r="AK21" i="2" s="1"/>
  <c r="AJ21" i="15" s="1"/>
  <c r="AJ21" i="2"/>
  <c r="C22" i="2"/>
  <c r="D22" i="2"/>
  <c r="E22" i="2"/>
  <c r="F22" i="2"/>
  <c r="G22" i="2"/>
  <c r="H22" i="2"/>
  <c r="I22" i="2"/>
  <c r="J22" i="2"/>
  <c r="AI22" i="2"/>
  <c r="AJ22" i="2"/>
  <c r="AK22" i="2" s="1"/>
  <c r="AJ22" i="15" s="1"/>
  <c r="C23" i="2"/>
  <c r="D23" i="2"/>
  <c r="E23" i="2"/>
  <c r="F23" i="2"/>
  <c r="G23" i="2"/>
  <c r="H23" i="2"/>
  <c r="I23" i="2"/>
  <c r="J23" i="2"/>
  <c r="AI23" i="2"/>
  <c r="AJ23" i="2"/>
  <c r="AK23" i="2" s="1"/>
  <c r="AJ23" i="15" s="1"/>
  <c r="C24" i="2"/>
  <c r="C24" i="31" s="1"/>
  <c r="D24" i="2"/>
  <c r="E24" i="2"/>
  <c r="F24" i="2"/>
  <c r="L24" i="2"/>
  <c r="G24" i="2"/>
  <c r="H24" i="2"/>
  <c r="I24" i="2"/>
  <c r="J24" i="2"/>
  <c r="AI24" i="2"/>
  <c r="AJ24" i="2"/>
  <c r="AK24" i="2" s="1"/>
  <c r="AJ24" i="15" s="1"/>
  <c r="C25" i="2"/>
  <c r="D25" i="2"/>
  <c r="E25" i="2"/>
  <c r="F25" i="2"/>
  <c r="G25" i="2"/>
  <c r="H25" i="2"/>
  <c r="I25" i="2"/>
  <c r="J25" i="2"/>
  <c r="AI25" i="2"/>
  <c r="AJ25" i="2"/>
  <c r="V21" i="8"/>
  <c r="U21" i="8"/>
  <c r="H20" i="48" s="1"/>
  <c r="V20" i="8"/>
  <c r="H19" i="48" s="1"/>
  <c r="U20" i="8"/>
  <c r="V19" i="8"/>
  <c r="U19" i="8"/>
  <c r="V18" i="8"/>
  <c r="U18" i="8"/>
  <c r="D17" i="33" s="1"/>
  <c r="V17" i="8"/>
  <c r="U17" i="8"/>
  <c r="D16" i="33" s="1"/>
  <c r="V16" i="8"/>
  <c r="U16" i="8"/>
  <c r="V15" i="8"/>
  <c r="U15" i="8"/>
  <c r="D14" i="33" s="1"/>
  <c r="V14" i="8"/>
  <c r="U14" i="8"/>
  <c r="D13" i="44" s="1"/>
  <c r="V13" i="8"/>
  <c r="U13" i="8"/>
  <c r="D12" i="31" s="1"/>
  <c r="V12" i="8"/>
  <c r="U12" i="8"/>
  <c r="V11" i="8"/>
  <c r="U11" i="8"/>
  <c r="V10" i="8"/>
  <c r="U10" i="8"/>
  <c r="D9" i="31" s="1"/>
  <c r="V9" i="8"/>
  <c r="U9" i="8"/>
  <c r="D8" i="33" s="1"/>
  <c r="V8" i="8"/>
  <c r="U8" i="8"/>
  <c r="V7" i="8"/>
  <c r="U7" i="8"/>
  <c r="R27" i="8"/>
  <c r="Q27" i="8"/>
  <c r="S27" i="8"/>
  <c r="T27" i="8"/>
  <c r="AO6" i="15"/>
  <c r="AP6" i="15"/>
  <c r="AO7" i="15"/>
  <c r="AP7" i="15"/>
  <c r="AO8" i="15"/>
  <c r="AQ8" i="15" s="1"/>
  <c r="AP8" i="15"/>
  <c r="AO9" i="15"/>
  <c r="AP9" i="15"/>
  <c r="AQ9" i="15" s="1"/>
  <c r="AO10" i="15"/>
  <c r="AP10" i="15"/>
  <c r="AO11" i="15"/>
  <c r="AP11" i="15"/>
  <c r="AQ11" i="15"/>
  <c r="AO12" i="15"/>
  <c r="AP12" i="15"/>
  <c r="AO13" i="15"/>
  <c r="AQ13" i="15" s="1"/>
  <c r="AP13" i="15"/>
  <c r="AO14" i="15"/>
  <c r="AP14" i="15"/>
  <c r="AO15" i="15"/>
  <c r="AP15" i="15"/>
  <c r="AQ15" i="15" s="1"/>
  <c r="AO16" i="15"/>
  <c r="AP16" i="15"/>
  <c r="AO17" i="15"/>
  <c r="AQ17" i="15" s="1"/>
  <c r="AP17" i="15"/>
  <c r="AO18" i="15"/>
  <c r="AP18" i="15"/>
  <c r="AQ18" i="15" s="1"/>
  <c r="AO19" i="15"/>
  <c r="AQ19" i="15" s="1"/>
  <c r="AP19" i="15"/>
  <c r="AO20" i="15"/>
  <c r="AP20" i="15"/>
  <c r="AI4" i="2"/>
  <c r="AI6" i="2"/>
  <c r="AK6" i="2" s="1"/>
  <c r="AJ6" i="15" s="1"/>
  <c r="AI7" i="2"/>
  <c r="AK7" i="2" s="1"/>
  <c r="AI8" i="2"/>
  <c r="AI9" i="2"/>
  <c r="AI10" i="2"/>
  <c r="AI11" i="2"/>
  <c r="AI12" i="2"/>
  <c r="AK12" i="2" s="1"/>
  <c r="AJ12" i="15" s="1"/>
  <c r="AI13" i="2"/>
  <c r="AI14" i="2"/>
  <c r="AK14" i="2" s="1"/>
  <c r="AJ14" i="15" s="1"/>
  <c r="AI15" i="2"/>
  <c r="AK15" i="2" s="1"/>
  <c r="AJ15" i="15" s="1"/>
  <c r="AI16" i="2"/>
  <c r="AI17" i="2"/>
  <c r="AI18" i="2"/>
  <c r="AI19" i="2"/>
  <c r="AI20" i="2"/>
  <c r="AK20" i="2" s="1"/>
  <c r="AJ20" i="15" s="1"/>
  <c r="AJ6" i="2"/>
  <c r="AJ7" i="2"/>
  <c r="AJ8" i="2"/>
  <c r="AJ9" i="2"/>
  <c r="AJ10" i="2"/>
  <c r="AJ11" i="2"/>
  <c r="AJ12" i="2"/>
  <c r="AJ13" i="2"/>
  <c r="AJ14" i="2"/>
  <c r="AJ15" i="2"/>
  <c r="AJ16" i="2"/>
  <c r="AK16" i="2" s="1"/>
  <c r="AJ16" i="15" s="1"/>
  <c r="AJ17" i="2"/>
  <c r="AJ18" i="2"/>
  <c r="AJ19" i="2"/>
  <c r="AK19" i="2" s="1"/>
  <c r="AJ19" i="15" s="1"/>
  <c r="AJ20" i="2"/>
  <c r="A1" i="2"/>
  <c r="V8" i="7"/>
  <c r="V9" i="7"/>
  <c r="V10" i="7"/>
  <c r="V11" i="7"/>
  <c r="V27" i="7" s="1"/>
  <c r="V12" i="7"/>
  <c r="E11" i="33" s="1"/>
  <c r="V13" i="7"/>
  <c r="V14" i="7"/>
  <c r="V15" i="7"/>
  <c r="V16" i="7"/>
  <c r="V17" i="7"/>
  <c r="V18" i="7"/>
  <c r="V19" i="7"/>
  <c r="E18" i="33" s="1"/>
  <c r="V20" i="7"/>
  <c r="E19" i="33" s="1"/>
  <c r="V21" i="7"/>
  <c r="V7" i="7"/>
  <c r="U8" i="7"/>
  <c r="U9" i="7"/>
  <c r="U10" i="7"/>
  <c r="E9" i="31"/>
  <c r="U11" i="7"/>
  <c r="E10" i="33" s="1"/>
  <c r="U12" i="7"/>
  <c r="U13" i="7"/>
  <c r="E12" i="33"/>
  <c r="U14" i="7"/>
  <c r="U15" i="7"/>
  <c r="E14" i="31" s="1"/>
  <c r="U16" i="7"/>
  <c r="E15" i="33" s="1"/>
  <c r="U17" i="7"/>
  <c r="E16" i="31" s="1"/>
  <c r="U18" i="7"/>
  <c r="E17" i="33" s="1"/>
  <c r="U19" i="7"/>
  <c r="U20" i="7"/>
  <c r="U21" i="7"/>
  <c r="E20" i="33" s="1"/>
  <c r="U7" i="7"/>
  <c r="S27" i="7"/>
  <c r="T27" i="7"/>
  <c r="F25" i="91"/>
  <c r="O6" i="4"/>
  <c r="O7" i="4"/>
  <c r="F8" i="30" s="1"/>
  <c r="O8" i="4"/>
  <c r="F9" i="30"/>
  <c r="O9" i="4"/>
  <c r="F10" i="30" s="1"/>
  <c r="O10" i="4"/>
  <c r="F11" i="30"/>
  <c r="O11" i="4"/>
  <c r="F12" i="30"/>
  <c r="O12" i="4"/>
  <c r="F13" i="30"/>
  <c r="O13" i="4"/>
  <c r="F14" i="30" s="1"/>
  <c r="O14" i="4"/>
  <c r="F15" i="30" s="1"/>
  <c r="O15" i="4"/>
  <c r="F16" i="30" s="1"/>
  <c r="O16" i="4"/>
  <c r="F17" i="30" s="1"/>
  <c r="O17" i="4"/>
  <c r="F18" i="30" s="1"/>
  <c r="O18" i="4"/>
  <c r="F19" i="30" s="1"/>
  <c r="O19" i="4"/>
  <c r="F20" i="30"/>
  <c r="O20" i="4"/>
  <c r="F21" i="30"/>
  <c r="W6" i="6"/>
  <c r="W26" i="6" s="1"/>
  <c r="W7" i="6"/>
  <c r="D8" i="30" s="1"/>
  <c r="W8" i="6"/>
  <c r="D9" i="30" s="1"/>
  <c r="W9" i="6"/>
  <c r="D10" i="30" s="1"/>
  <c r="W10" i="6"/>
  <c r="D11" i="30"/>
  <c r="W11" i="6"/>
  <c r="D12" i="30" s="1"/>
  <c r="W12" i="6"/>
  <c r="D13" i="30"/>
  <c r="W13" i="6"/>
  <c r="D14" i="30" s="1"/>
  <c r="W14" i="6"/>
  <c r="D15" i="30"/>
  <c r="W15" i="6"/>
  <c r="D16" i="30" s="1"/>
  <c r="W16" i="6"/>
  <c r="D17" i="30" s="1"/>
  <c r="W17" i="6"/>
  <c r="D18" i="30" s="1"/>
  <c r="W18" i="6"/>
  <c r="D19" i="30" s="1"/>
  <c r="W19" i="6"/>
  <c r="W20" i="6"/>
  <c r="D21" i="30" s="1"/>
  <c r="C5" i="58"/>
  <c r="AA4" i="2"/>
  <c r="K5" i="58"/>
  <c r="AD26" i="15"/>
  <c r="F7" i="15"/>
  <c r="F8" i="15"/>
  <c r="F9" i="15"/>
  <c r="F10" i="15"/>
  <c r="F11" i="15"/>
  <c r="F12" i="15"/>
  <c r="F13" i="15"/>
  <c r="F14" i="15"/>
  <c r="F15" i="15"/>
  <c r="F16" i="15"/>
  <c r="F17" i="15"/>
  <c r="F18" i="15"/>
  <c r="F19" i="15"/>
  <c r="F20" i="15"/>
  <c r="F6" i="15"/>
  <c r="F26" i="15" s="1"/>
  <c r="F20" i="91"/>
  <c r="F19" i="91"/>
  <c r="F18" i="91"/>
  <c r="F17" i="91"/>
  <c r="F16" i="91"/>
  <c r="F15" i="91"/>
  <c r="F14" i="91"/>
  <c r="F13" i="91"/>
  <c r="F12" i="91"/>
  <c r="F11" i="91"/>
  <c r="F10" i="91"/>
  <c r="F9" i="91"/>
  <c r="F8" i="91"/>
  <c r="F7" i="91"/>
  <c r="F6" i="91"/>
  <c r="B25" i="91"/>
  <c r="A25" i="91"/>
  <c r="B20" i="91"/>
  <c r="A20" i="91"/>
  <c r="B19" i="91"/>
  <c r="A19" i="91"/>
  <c r="B18" i="91"/>
  <c r="A18" i="91"/>
  <c r="B17" i="91"/>
  <c r="A17" i="91"/>
  <c r="B16" i="91"/>
  <c r="A16" i="91"/>
  <c r="B15" i="91"/>
  <c r="A15" i="91"/>
  <c r="B14" i="91"/>
  <c r="A14" i="91"/>
  <c r="B13" i="91"/>
  <c r="A13" i="91"/>
  <c r="B12" i="91"/>
  <c r="A12" i="91"/>
  <c r="B11" i="91"/>
  <c r="A11" i="91"/>
  <c r="B10" i="91"/>
  <c r="A10" i="91"/>
  <c r="B9" i="91"/>
  <c r="A9" i="91"/>
  <c r="B8" i="91"/>
  <c r="A8" i="91"/>
  <c r="B7" i="91"/>
  <c r="A7" i="91"/>
  <c r="B6" i="91"/>
  <c r="A6" i="91"/>
  <c r="AF26" i="14"/>
  <c r="H7" i="14"/>
  <c r="H8" i="14"/>
  <c r="H9" i="14"/>
  <c r="H10" i="14"/>
  <c r="H11" i="14"/>
  <c r="H12" i="14"/>
  <c r="H13" i="14"/>
  <c r="H14" i="14"/>
  <c r="H15" i="14"/>
  <c r="H16" i="14"/>
  <c r="H17" i="14"/>
  <c r="H18" i="14"/>
  <c r="H19" i="14"/>
  <c r="H20" i="14"/>
  <c r="H6" i="14"/>
  <c r="C20" i="15"/>
  <c r="C20" i="29" s="1"/>
  <c r="E20" i="29" s="1"/>
  <c r="D20" i="45"/>
  <c r="C19" i="15"/>
  <c r="E19" i="58" s="1"/>
  <c r="C18" i="15"/>
  <c r="C17" i="15"/>
  <c r="F17" i="44"/>
  <c r="C16" i="15"/>
  <c r="E16" i="91"/>
  <c r="C15" i="15"/>
  <c r="F15" i="44" s="1"/>
  <c r="C14" i="15"/>
  <c r="F14" i="44" s="1"/>
  <c r="C13" i="15"/>
  <c r="D13" i="45"/>
  <c r="C12" i="15"/>
  <c r="C11" i="15"/>
  <c r="E11" i="58" s="1"/>
  <c r="C10" i="15"/>
  <c r="E10" i="58" s="1"/>
  <c r="K10" i="58" s="1"/>
  <c r="C9" i="15"/>
  <c r="E9" i="58" s="1"/>
  <c r="I9" i="58" s="1"/>
  <c r="C8" i="15"/>
  <c r="C7" i="15"/>
  <c r="E7" i="91" s="1"/>
  <c r="C6" i="15"/>
  <c r="F6" i="44"/>
  <c r="I20" i="14"/>
  <c r="I19" i="14"/>
  <c r="I18" i="14"/>
  <c r="I17" i="14"/>
  <c r="I16" i="14"/>
  <c r="I15" i="14"/>
  <c r="I14" i="14"/>
  <c r="I13" i="14"/>
  <c r="I12" i="14"/>
  <c r="I11" i="14"/>
  <c r="I10" i="14"/>
  <c r="I9" i="14"/>
  <c r="I8" i="14"/>
  <c r="I7" i="14"/>
  <c r="I6" i="14"/>
  <c r="B20" i="77"/>
  <c r="AG26" i="14"/>
  <c r="C29" i="23"/>
  <c r="C28" i="23"/>
  <c r="C27" i="23"/>
  <c r="C26" i="23"/>
  <c r="C25" i="23"/>
  <c r="C24" i="23"/>
  <c r="C23" i="23"/>
  <c r="C22" i="23"/>
  <c r="C21" i="23"/>
  <c r="C20" i="23"/>
  <c r="C19" i="23"/>
  <c r="C18" i="23"/>
  <c r="C17" i="23"/>
  <c r="C16" i="23"/>
  <c r="C15" i="23"/>
  <c r="C14" i="23"/>
  <c r="C13" i="23"/>
  <c r="C12" i="23"/>
  <c r="C11" i="23"/>
  <c r="C10" i="23"/>
  <c r="C9" i="23"/>
  <c r="C8" i="23"/>
  <c r="C7" i="23"/>
  <c r="C6" i="23"/>
  <c r="C5" i="23"/>
  <c r="C4" i="23"/>
  <c r="K6" i="14"/>
  <c r="K7" i="14"/>
  <c r="K8" i="14"/>
  <c r="K9" i="14"/>
  <c r="K10" i="14"/>
  <c r="K11" i="14"/>
  <c r="K12" i="14"/>
  <c r="K13" i="14"/>
  <c r="K14" i="14"/>
  <c r="K15" i="14"/>
  <c r="K16" i="14"/>
  <c r="K17" i="14"/>
  <c r="K18" i="14"/>
  <c r="K19" i="14"/>
  <c r="K20" i="14"/>
  <c r="L6" i="14"/>
  <c r="L7" i="14"/>
  <c r="L8" i="14"/>
  <c r="L9" i="14"/>
  <c r="L10" i="14"/>
  <c r="L11" i="14"/>
  <c r="L12" i="14"/>
  <c r="L13" i="14"/>
  <c r="L14" i="14"/>
  <c r="L15" i="14"/>
  <c r="L16" i="14"/>
  <c r="L17" i="14"/>
  <c r="L18" i="14"/>
  <c r="L19" i="14"/>
  <c r="L20" i="14"/>
  <c r="U20" i="14"/>
  <c r="T20" i="14"/>
  <c r="G20" i="64" s="1"/>
  <c r="S20" i="14"/>
  <c r="D20" i="64" s="1"/>
  <c r="R20" i="14"/>
  <c r="Q20" i="14"/>
  <c r="O20" i="14"/>
  <c r="N20" i="14"/>
  <c r="M20" i="14"/>
  <c r="J20" i="14"/>
  <c r="G20" i="14"/>
  <c r="F20" i="14"/>
  <c r="E20" i="14"/>
  <c r="D20" i="14"/>
  <c r="C20" i="14"/>
  <c r="U19" i="14"/>
  <c r="T19" i="14"/>
  <c r="G19" i="64" s="1"/>
  <c r="S19" i="14"/>
  <c r="D19" i="64" s="1"/>
  <c r="R19" i="14"/>
  <c r="Q19" i="14"/>
  <c r="O19" i="14"/>
  <c r="N19" i="14"/>
  <c r="M19" i="14"/>
  <c r="J19" i="14"/>
  <c r="J6" i="14"/>
  <c r="J7" i="14"/>
  <c r="J8" i="14"/>
  <c r="J9" i="14"/>
  <c r="J10" i="14"/>
  <c r="J11" i="14"/>
  <c r="J12" i="14"/>
  <c r="J13" i="14"/>
  <c r="J14" i="14"/>
  <c r="J15" i="14"/>
  <c r="J16" i="14"/>
  <c r="J17" i="14"/>
  <c r="J18" i="14"/>
  <c r="G19" i="14"/>
  <c r="F19" i="14"/>
  <c r="E19" i="14"/>
  <c r="D19" i="14"/>
  <c r="C19" i="14"/>
  <c r="U18" i="14"/>
  <c r="T18" i="14"/>
  <c r="G18" i="64" s="1"/>
  <c r="S18" i="14"/>
  <c r="D18" i="64" s="1"/>
  <c r="R18" i="14"/>
  <c r="Q18" i="14"/>
  <c r="O18" i="14"/>
  <c r="N18" i="14"/>
  <c r="M18" i="14"/>
  <c r="G18" i="14"/>
  <c r="F18" i="14"/>
  <c r="E18" i="14"/>
  <c r="D18" i="14"/>
  <c r="C18" i="14"/>
  <c r="U17" i="14"/>
  <c r="T17" i="14"/>
  <c r="G17" i="64" s="1"/>
  <c r="S17" i="14"/>
  <c r="D17" i="64" s="1"/>
  <c r="R17" i="14"/>
  <c r="Q17" i="14"/>
  <c r="O17" i="14"/>
  <c r="N17" i="14"/>
  <c r="M17" i="14"/>
  <c r="G17" i="14"/>
  <c r="C17" i="14"/>
  <c r="D17" i="14"/>
  <c r="E17" i="14"/>
  <c r="F17" i="14"/>
  <c r="U16" i="14"/>
  <c r="T16" i="14"/>
  <c r="G16" i="64" s="1"/>
  <c r="S16" i="14"/>
  <c r="D16" i="64" s="1"/>
  <c r="R16" i="14"/>
  <c r="Q16" i="14"/>
  <c r="O16" i="14"/>
  <c r="N16" i="14"/>
  <c r="M16" i="14"/>
  <c r="G16" i="14"/>
  <c r="F16" i="14"/>
  <c r="E16" i="14"/>
  <c r="D16" i="14"/>
  <c r="C16" i="14"/>
  <c r="U15" i="14"/>
  <c r="T15" i="14"/>
  <c r="G15" i="64" s="1"/>
  <c r="S15" i="14"/>
  <c r="D15" i="64" s="1"/>
  <c r="R15" i="14"/>
  <c r="Q15" i="14"/>
  <c r="O15" i="14"/>
  <c r="N15" i="14"/>
  <c r="M15" i="14"/>
  <c r="G15" i="14"/>
  <c r="F15" i="14"/>
  <c r="E15" i="14"/>
  <c r="D15" i="14"/>
  <c r="C15" i="14"/>
  <c r="U14" i="14"/>
  <c r="T14" i="14"/>
  <c r="G14" i="64" s="1"/>
  <c r="S14" i="14"/>
  <c r="D14" i="64" s="1"/>
  <c r="R14" i="14"/>
  <c r="Q14" i="14"/>
  <c r="O14" i="14"/>
  <c r="N14" i="14"/>
  <c r="M14" i="14"/>
  <c r="G14" i="14"/>
  <c r="F14" i="14"/>
  <c r="E14" i="14"/>
  <c r="D14" i="14"/>
  <c r="C14" i="14"/>
  <c r="U13" i="14"/>
  <c r="T13" i="14"/>
  <c r="G13" i="64" s="1"/>
  <c r="S13" i="14"/>
  <c r="D13" i="64" s="1"/>
  <c r="R13" i="14"/>
  <c r="Q13" i="14"/>
  <c r="O13" i="14"/>
  <c r="N13" i="14"/>
  <c r="M13" i="14"/>
  <c r="G13" i="14"/>
  <c r="F13" i="14"/>
  <c r="E13" i="14"/>
  <c r="D13" i="14"/>
  <c r="C13" i="14"/>
  <c r="U12" i="14"/>
  <c r="T12" i="14"/>
  <c r="G12" i="64" s="1"/>
  <c r="S12" i="14"/>
  <c r="D12" i="64" s="1"/>
  <c r="R12" i="14"/>
  <c r="Q12" i="14"/>
  <c r="O12" i="14"/>
  <c r="N12" i="14"/>
  <c r="M12" i="14"/>
  <c r="G12" i="14"/>
  <c r="F12" i="14"/>
  <c r="E12" i="14"/>
  <c r="D12" i="14"/>
  <c r="C12" i="14"/>
  <c r="U11" i="14"/>
  <c r="T11" i="14"/>
  <c r="G11" i="64" s="1"/>
  <c r="S11" i="14"/>
  <c r="D11" i="64" s="1"/>
  <c r="R11" i="14"/>
  <c r="Q11" i="14"/>
  <c r="O11" i="14"/>
  <c r="N11" i="14"/>
  <c r="M11" i="14"/>
  <c r="G11" i="14"/>
  <c r="F11" i="14"/>
  <c r="E11" i="14"/>
  <c r="D11" i="14"/>
  <c r="C11" i="14"/>
  <c r="U10" i="14"/>
  <c r="T10" i="14"/>
  <c r="G10" i="64" s="1"/>
  <c r="S10" i="14"/>
  <c r="D10" i="64" s="1"/>
  <c r="R10" i="14"/>
  <c r="Q10" i="14"/>
  <c r="O10" i="14"/>
  <c r="N10" i="14"/>
  <c r="M10" i="14"/>
  <c r="G10" i="14"/>
  <c r="F10" i="14"/>
  <c r="E10" i="14"/>
  <c r="D10" i="14"/>
  <c r="C10" i="14"/>
  <c r="U9" i="14"/>
  <c r="T9" i="14"/>
  <c r="S9" i="14"/>
  <c r="D9" i="64" s="1"/>
  <c r="R9" i="14"/>
  <c r="Q9" i="14"/>
  <c r="O9" i="14"/>
  <c r="N9" i="14"/>
  <c r="M9" i="14"/>
  <c r="G9" i="14"/>
  <c r="F9" i="14"/>
  <c r="E9" i="14"/>
  <c r="D9" i="14"/>
  <c r="C9" i="14"/>
  <c r="U8" i="14"/>
  <c r="T8" i="14"/>
  <c r="G8" i="64" s="1"/>
  <c r="S8" i="14"/>
  <c r="D8" i="64" s="1"/>
  <c r="R8" i="14"/>
  <c r="Q8" i="14"/>
  <c r="O8" i="14"/>
  <c r="N8" i="14"/>
  <c r="M8" i="14"/>
  <c r="G8" i="14"/>
  <c r="F8" i="14"/>
  <c r="E8" i="14"/>
  <c r="D8" i="14"/>
  <c r="C8" i="14"/>
  <c r="U7" i="14"/>
  <c r="T7" i="14"/>
  <c r="G7" i="64" s="1"/>
  <c r="S7" i="14"/>
  <c r="D7" i="64" s="1"/>
  <c r="R7" i="14"/>
  <c r="Q7" i="14"/>
  <c r="O7" i="14"/>
  <c r="N7" i="14"/>
  <c r="M7" i="14"/>
  <c r="G7" i="14"/>
  <c r="F7" i="14"/>
  <c r="E7" i="14"/>
  <c r="D7" i="14"/>
  <c r="C7" i="14"/>
  <c r="U6" i="14"/>
  <c r="T6" i="14"/>
  <c r="G6" i="64" s="1"/>
  <c r="S6" i="14"/>
  <c r="D6" i="64"/>
  <c r="R6" i="14"/>
  <c r="Q6" i="14"/>
  <c r="O6" i="14"/>
  <c r="N6" i="14"/>
  <c r="M6" i="14"/>
  <c r="G6" i="14"/>
  <c r="F6" i="14"/>
  <c r="E6" i="14"/>
  <c r="D6" i="14"/>
  <c r="C6" i="14"/>
  <c r="AS26" i="14"/>
  <c r="AR26" i="14"/>
  <c r="AQ26" i="14"/>
  <c r="AP26" i="14"/>
  <c r="AO26" i="14"/>
  <c r="AM26" i="14"/>
  <c r="AL26" i="14"/>
  <c r="AK26" i="14"/>
  <c r="AJ26" i="14"/>
  <c r="AI26" i="14"/>
  <c r="AH26" i="14"/>
  <c r="AE26" i="14"/>
  <c r="AD26" i="14"/>
  <c r="AC26" i="14"/>
  <c r="AB26" i="14"/>
  <c r="AA26" i="14"/>
  <c r="AU20" i="14"/>
  <c r="AT20" i="14"/>
  <c r="AU19" i="14"/>
  <c r="AT19" i="14"/>
  <c r="AU18" i="14"/>
  <c r="AT18" i="14"/>
  <c r="AU17" i="14"/>
  <c r="AT17" i="14"/>
  <c r="AU16" i="14"/>
  <c r="AT16" i="14"/>
  <c r="AU15" i="14"/>
  <c r="AT15" i="14"/>
  <c r="AU14" i="14"/>
  <c r="AT14" i="14"/>
  <c r="AU13" i="14"/>
  <c r="AT13" i="14"/>
  <c r="AU12" i="14"/>
  <c r="AT12" i="14"/>
  <c r="AU11" i="14"/>
  <c r="AT11" i="14"/>
  <c r="AU10" i="14"/>
  <c r="AT10" i="14"/>
  <c r="AU9" i="14"/>
  <c r="AT9" i="14"/>
  <c r="AU8" i="14"/>
  <c r="AT8" i="14"/>
  <c r="AU7" i="14"/>
  <c r="AT7" i="14"/>
  <c r="AU6" i="14"/>
  <c r="AT6" i="14"/>
  <c r="J20" i="15"/>
  <c r="I20" i="15"/>
  <c r="H20" i="15"/>
  <c r="E20" i="15"/>
  <c r="D20" i="15"/>
  <c r="J19" i="15"/>
  <c r="I19" i="15"/>
  <c r="H19" i="15"/>
  <c r="E19" i="15"/>
  <c r="E6" i="15"/>
  <c r="E26" i="15" s="1"/>
  <c r="E7" i="15"/>
  <c r="E8" i="15"/>
  <c r="E9" i="15"/>
  <c r="E10" i="15"/>
  <c r="E11" i="15"/>
  <c r="E12" i="15"/>
  <c r="E13" i="15"/>
  <c r="E14" i="15"/>
  <c r="E15" i="15"/>
  <c r="E16" i="15"/>
  <c r="E17" i="15"/>
  <c r="E18" i="15"/>
  <c r="D19" i="15"/>
  <c r="J18" i="15"/>
  <c r="I18" i="15"/>
  <c r="H18" i="15"/>
  <c r="D18" i="15"/>
  <c r="K18" i="15" s="1"/>
  <c r="J17" i="15"/>
  <c r="I17" i="15"/>
  <c r="H17" i="15"/>
  <c r="D17" i="15"/>
  <c r="D17" i="29" s="1"/>
  <c r="J16" i="15"/>
  <c r="I16" i="15"/>
  <c r="H16" i="15"/>
  <c r="H26" i="15" s="1"/>
  <c r="D16" i="15"/>
  <c r="D16" i="29" s="1"/>
  <c r="J15" i="15"/>
  <c r="I15" i="15"/>
  <c r="H15" i="15"/>
  <c r="D15" i="15"/>
  <c r="D15" i="29"/>
  <c r="J14" i="15"/>
  <c r="I14" i="15"/>
  <c r="H14" i="15"/>
  <c r="D14" i="15"/>
  <c r="J13" i="15"/>
  <c r="I13" i="15"/>
  <c r="H13" i="15"/>
  <c r="D13" i="15"/>
  <c r="J12" i="15"/>
  <c r="I12" i="15"/>
  <c r="H12" i="15"/>
  <c r="D12" i="15"/>
  <c r="J11" i="15"/>
  <c r="I11" i="15"/>
  <c r="H11" i="15"/>
  <c r="D11" i="15"/>
  <c r="D11" i="29"/>
  <c r="J10" i="15"/>
  <c r="I10" i="15"/>
  <c r="H10" i="15"/>
  <c r="D10" i="15"/>
  <c r="D10" i="29"/>
  <c r="J9" i="15"/>
  <c r="J6" i="15"/>
  <c r="J7" i="15"/>
  <c r="J8" i="15"/>
  <c r="I9" i="15"/>
  <c r="H9" i="15"/>
  <c r="D9" i="15"/>
  <c r="D9" i="29"/>
  <c r="I8" i="15"/>
  <c r="H8" i="15"/>
  <c r="D8" i="15"/>
  <c r="D26" i="15" s="1"/>
  <c r="I7" i="15"/>
  <c r="H7" i="15"/>
  <c r="D7" i="15"/>
  <c r="D7" i="29"/>
  <c r="I6" i="15"/>
  <c r="H6" i="15"/>
  <c r="D6" i="15"/>
  <c r="AH26" i="15"/>
  <c r="AG26" i="15"/>
  <c r="AF26" i="15"/>
  <c r="AC26" i="15"/>
  <c r="AB26" i="15"/>
  <c r="AA26" i="15"/>
  <c r="R8" i="43"/>
  <c r="R9" i="43"/>
  <c r="R10" i="43"/>
  <c r="R11" i="43"/>
  <c r="R12" i="43"/>
  <c r="R13" i="43"/>
  <c r="R14" i="43"/>
  <c r="R15" i="43"/>
  <c r="R16" i="43"/>
  <c r="R17" i="43"/>
  <c r="R18" i="43"/>
  <c r="R19" i="43"/>
  <c r="R20" i="43"/>
  <c r="R21" i="43"/>
  <c r="R22" i="43"/>
  <c r="J8" i="43"/>
  <c r="J9" i="43"/>
  <c r="J10" i="43"/>
  <c r="J11" i="43"/>
  <c r="J12" i="43"/>
  <c r="J13" i="43"/>
  <c r="J14" i="43"/>
  <c r="J15" i="43"/>
  <c r="J16" i="43"/>
  <c r="J17" i="43"/>
  <c r="J18" i="43"/>
  <c r="J19" i="43"/>
  <c r="J20" i="43"/>
  <c r="J21" i="43"/>
  <c r="J22" i="43"/>
  <c r="V22" i="43"/>
  <c r="U22" i="43"/>
  <c r="Q22" i="43"/>
  <c r="P22" i="43"/>
  <c r="O22" i="43"/>
  <c r="N22" i="43"/>
  <c r="M22" i="43"/>
  <c r="L22" i="43"/>
  <c r="K22" i="43"/>
  <c r="I22" i="43"/>
  <c r="H22" i="43"/>
  <c r="G22" i="43"/>
  <c r="F22" i="43"/>
  <c r="E22" i="43"/>
  <c r="D22" i="43"/>
  <c r="C22" i="43"/>
  <c r="V21" i="43"/>
  <c r="U21" i="43"/>
  <c r="Q21" i="43"/>
  <c r="P21" i="43"/>
  <c r="O21" i="43"/>
  <c r="N21" i="43"/>
  <c r="M21" i="43"/>
  <c r="L21" i="43"/>
  <c r="K21" i="43"/>
  <c r="I21" i="43"/>
  <c r="H21" i="43"/>
  <c r="G21" i="43"/>
  <c r="F21" i="43"/>
  <c r="D21" i="43"/>
  <c r="E21" i="43"/>
  <c r="C21" i="43"/>
  <c r="V20" i="43"/>
  <c r="U20" i="43"/>
  <c r="Q20" i="43"/>
  <c r="P20" i="43"/>
  <c r="O20" i="43"/>
  <c r="N20" i="43"/>
  <c r="M20" i="43"/>
  <c r="L20" i="43"/>
  <c r="K20" i="43"/>
  <c r="I20" i="43"/>
  <c r="H20" i="43"/>
  <c r="G20" i="43"/>
  <c r="F20" i="43"/>
  <c r="E20" i="43"/>
  <c r="D20" i="43"/>
  <c r="C20" i="43"/>
  <c r="V19" i="43"/>
  <c r="U19" i="43"/>
  <c r="Q19" i="43"/>
  <c r="P19" i="43"/>
  <c r="O19" i="43"/>
  <c r="N19" i="43"/>
  <c r="M19" i="43"/>
  <c r="L19" i="43"/>
  <c r="K19" i="43"/>
  <c r="I19" i="43"/>
  <c r="H19" i="43"/>
  <c r="G19" i="43"/>
  <c r="G8" i="43"/>
  <c r="G9" i="43"/>
  <c r="G10" i="43"/>
  <c r="G11" i="43"/>
  <c r="G12" i="43"/>
  <c r="G13" i="43"/>
  <c r="G14" i="43"/>
  <c r="G15" i="43"/>
  <c r="G16" i="43"/>
  <c r="G17" i="43"/>
  <c r="G18" i="43"/>
  <c r="F19" i="43"/>
  <c r="E19" i="43"/>
  <c r="D19" i="43"/>
  <c r="C19" i="43"/>
  <c r="V18" i="43"/>
  <c r="U18" i="43"/>
  <c r="Q18" i="43"/>
  <c r="P18" i="43"/>
  <c r="O18" i="43"/>
  <c r="N18" i="43"/>
  <c r="M18" i="43"/>
  <c r="L18" i="43"/>
  <c r="K18" i="43"/>
  <c r="D18" i="43"/>
  <c r="F18" i="43"/>
  <c r="H18" i="43"/>
  <c r="I18" i="43"/>
  <c r="E18" i="43"/>
  <c r="C18" i="43"/>
  <c r="V17" i="43"/>
  <c r="V8" i="43"/>
  <c r="V9" i="43"/>
  <c r="V10" i="43"/>
  <c r="V11" i="43"/>
  <c r="V12" i="43"/>
  <c r="V13" i="43"/>
  <c r="V14" i="43"/>
  <c r="V15" i="43"/>
  <c r="V16" i="43"/>
  <c r="U17" i="43"/>
  <c r="Q17" i="43"/>
  <c r="P17" i="43"/>
  <c r="O17" i="43"/>
  <c r="N17" i="43"/>
  <c r="M17" i="43"/>
  <c r="L17" i="43"/>
  <c r="L8" i="43"/>
  <c r="L9" i="43"/>
  <c r="L10" i="43"/>
  <c r="L11" i="43"/>
  <c r="L12" i="43"/>
  <c r="L13" i="43"/>
  <c r="L14" i="43"/>
  <c r="L15" i="43"/>
  <c r="L16" i="43"/>
  <c r="K17" i="43"/>
  <c r="I17" i="43"/>
  <c r="H17" i="43"/>
  <c r="F17" i="43"/>
  <c r="E17" i="43"/>
  <c r="D17" i="43"/>
  <c r="C17" i="43"/>
  <c r="U16" i="43"/>
  <c r="Q16" i="43"/>
  <c r="P16" i="43"/>
  <c r="O16" i="43"/>
  <c r="N16" i="43"/>
  <c r="M16" i="43"/>
  <c r="K16" i="43"/>
  <c r="I16" i="43"/>
  <c r="H16" i="43"/>
  <c r="F16" i="43"/>
  <c r="D16" i="43"/>
  <c r="E16" i="43"/>
  <c r="C16" i="43"/>
  <c r="U15" i="43"/>
  <c r="Q15" i="43"/>
  <c r="P15" i="43"/>
  <c r="O15" i="43"/>
  <c r="N15" i="43"/>
  <c r="M15" i="43"/>
  <c r="K15" i="43"/>
  <c r="I15" i="43"/>
  <c r="H15" i="43"/>
  <c r="F15" i="43"/>
  <c r="E15" i="43"/>
  <c r="D15" i="43"/>
  <c r="C15" i="43"/>
  <c r="U14" i="43"/>
  <c r="Q14" i="43"/>
  <c r="P14" i="43"/>
  <c r="O14" i="43"/>
  <c r="N14" i="43"/>
  <c r="M14" i="43"/>
  <c r="K14" i="43"/>
  <c r="C14" i="43"/>
  <c r="E14" i="43"/>
  <c r="I14" i="43"/>
  <c r="D14" i="43"/>
  <c r="F14" i="43"/>
  <c r="H14" i="43"/>
  <c r="U13" i="43"/>
  <c r="Q13" i="43"/>
  <c r="P13" i="43"/>
  <c r="O13" i="43"/>
  <c r="N13" i="43"/>
  <c r="M13" i="43"/>
  <c r="K13" i="43"/>
  <c r="I13" i="43"/>
  <c r="H13" i="43"/>
  <c r="F13" i="43"/>
  <c r="D13" i="43"/>
  <c r="E13" i="43"/>
  <c r="C13" i="43"/>
  <c r="U12" i="43"/>
  <c r="Q12" i="43"/>
  <c r="P12" i="43"/>
  <c r="O12" i="43"/>
  <c r="N12" i="43"/>
  <c r="M12" i="43"/>
  <c r="K12" i="43"/>
  <c r="I12" i="43"/>
  <c r="H12" i="43"/>
  <c r="F12" i="43"/>
  <c r="E12" i="43"/>
  <c r="D12" i="43"/>
  <c r="C12" i="43"/>
  <c r="U11" i="43"/>
  <c r="Q11" i="43"/>
  <c r="P11" i="43"/>
  <c r="O11" i="43"/>
  <c r="N11" i="43"/>
  <c r="M11" i="43"/>
  <c r="K11" i="43"/>
  <c r="I11" i="43"/>
  <c r="H11" i="43"/>
  <c r="F11" i="43"/>
  <c r="E11" i="43"/>
  <c r="D11" i="43"/>
  <c r="C11" i="43"/>
  <c r="U10" i="43"/>
  <c r="Q10" i="43"/>
  <c r="P10" i="43"/>
  <c r="O10" i="43"/>
  <c r="N10" i="43"/>
  <c r="M10" i="43"/>
  <c r="K10" i="43"/>
  <c r="I10" i="43"/>
  <c r="H10" i="43"/>
  <c r="C10" i="43"/>
  <c r="E10" i="43"/>
  <c r="E28" i="43" s="1"/>
  <c r="F10" i="43"/>
  <c r="D10" i="43"/>
  <c r="U9" i="43"/>
  <c r="Q9" i="43"/>
  <c r="P9" i="43"/>
  <c r="O9" i="43"/>
  <c r="N9" i="43"/>
  <c r="M9" i="43"/>
  <c r="K9" i="43"/>
  <c r="I9" i="43"/>
  <c r="H9" i="43"/>
  <c r="F9" i="43"/>
  <c r="E9" i="43"/>
  <c r="D9" i="43"/>
  <c r="C9" i="43"/>
  <c r="U8" i="43"/>
  <c r="Q8" i="43"/>
  <c r="P8" i="43"/>
  <c r="O8" i="43"/>
  <c r="N8" i="43"/>
  <c r="M8" i="43"/>
  <c r="K8" i="43"/>
  <c r="I8" i="43"/>
  <c r="H8" i="43"/>
  <c r="F8" i="43"/>
  <c r="E8" i="43"/>
  <c r="C8" i="43"/>
  <c r="D8" i="43"/>
  <c r="AT28" i="43"/>
  <c r="AS28" i="43"/>
  <c r="AP28" i="43"/>
  <c r="AO28" i="43"/>
  <c r="AN28" i="43"/>
  <c r="AM28" i="43"/>
  <c r="AL28" i="43"/>
  <c r="AK28" i="43"/>
  <c r="AJ28" i="43"/>
  <c r="AI28" i="43"/>
  <c r="AH28" i="43"/>
  <c r="AG28" i="43"/>
  <c r="AF28" i="43"/>
  <c r="AE28" i="43"/>
  <c r="AD28" i="43"/>
  <c r="AC28" i="43"/>
  <c r="AB28" i="43"/>
  <c r="AA28" i="43"/>
  <c r="AW22" i="43"/>
  <c r="AW21" i="43"/>
  <c r="AW20" i="43"/>
  <c r="AW19" i="43"/>
  <c r="AW18" i="43"/>
  <c r="AW17" i="43"/>
  <c r="AW16" i="43"/>
  <c r="AW15" i="43"/>
  <c r="AW14" i="43"/>
  <c r="AW13" i="43"/>
  <c r="AW12" i="43"/>
  <c r="AW11" i="43"/>
  <c r="AW10" i="43"/>
  <c r="AW9" i="43"/>
  <c r="AW8" i="43"/>
  <c r="J20" i="2"/>
  <c r="I20" i="2"/>
  <c r="H20" i="2"/>
  <c r="G20" i="2"/>
  <c r="F20" i="2"/>
  <c r="E20" i="2"/>
  <c r="K20" i="2" s="1"/>
  <c r="D20" i="2"/>
  <c r="C20" i="33" s="1"/>
  <c r="C20" i="2"/>
  <c r="J19" i="2"/>
  <c r="L19" i="2" s="1"/>
  <c r="O21" i="32" s="1"/>
  <c r="I19" i="2"/>
  <c r="H19" i="2"/>
  <c r="G19" i="2"/>
  <c r="F19" i="2"/>
  <c r="E19" i="2"/>
  <c r="D19" i="2"/>
  <c r="C19" i="2"/>
  <c r="J18" i="2"/>
  <c r="I18" i="2"/>
  <c r="H18" i="2"/>
  <c r="G18" i="2"/>
  <c r="K18" i="2" s="1"/>
  <c r="F18" i="2"/>
  <c r="E18" i="2"/>
  <c r="D18" i="2"/>
  <c r="C18" i="2"/>
  <c r="C18" i="31" s="1"/>
  <c r="J17" i="2"/>
  <c r="I17" i="2"/>
  <c r="H17" i="2"/>
  <c r="L17" i="2" s="1"/>
  <c r="G17" i="2"/>
  <c r="F17" i="2"/>
  <c r="E17" i="2"/>
  <c r="D17" i="2"/>
  <c r="C17" i="2"/>
  <c r="J16" i="2"/>
  <c r="I16" i="2"/>
  <c r="H16" i="2"/>
  <c r="L16" i="2" s="1"/>
  <c r="G16" i="2"/>
  <c r="F16" i="2"/>
  <c r="E16" i="2"/>
  <c r="D16" i="2"/>
  <c r="C16" i="2"/>
  <c r="C16" i="33"/>
  <c r="J15" i="2"/>
  <c r="I15" i="2"/>
  <c r="K15" i="2" s="1"/>
  <c r="H15" i="2"/>
  <c r="G15" i="2"/>
  <c r="F15" i="2"/>
  <c r="E15" i="2"/>
  <c r="D15" i="2"/>
  <c r="C15" i="2"/>
  <c r="C15" i="33" s="1"/>
  <c r="J14" i="2"/>
  <c r="I14" i="2"/>
  <c r="I26" i="2" s="1"/>
  <c r="H14" i="2"/>
  <c r="G14" i="2"/>
  <c r="F14" i="2"/>
  <c r="E14" i="2"/>
  <c r="D14" i="2"/>
  <c r="C14" i="2"/>
  <c r="J13" i="2"/>
  <c r="L13" i="2" s="1"/>
  <c r="I13" i="2"/>
  <c r="H13" i="2"/>
  <c r="G13" i="2"/>
  <c r="F13" i="2"/>
  <c r="E13" i="2"/>
  <c r="D13" i="2"/>
  <c r="C13" i="33" s="1"/>
  <c r="C13" i="2"/>
  <c r="J12" i="2"/>
  <c r="I12" i="2"/>
  <c r="H12" i="2"/>
  <c r="G12" i="2"/>
  <c r="F12" i="2"/>
  <c r="E12" i="2"/>
  <c r="D12" i="2"/>
  <c r="C12" i="33" s="1"/>
  <c r="C12" i="2"/>
  <c r="J11" i="2"/>
  <c r="I11" i="2"/>
  <c r="H11" i="2"/>
  <c r="F11" i="2"/>
  <c r="G11" i="2"/>
  <c r="E11" i="2"/>
  <c r="D11" i="2"/>
  <c r="C11" i="31" s="1"/>
  <c r="C11" i="2"/>
  <c r="J10" i="2"/>
  <c r="I10" i="2"/>
  <c r="H10" i="2"/>
  <c r="G10" i="2"/>
  <c r="E10" i="2"/>
  <c r="K10" i="2" s="1"/>
  <c r="F10" i="2"/>
  <c r="D10" i="2"/>
  <c r="C10" i="2"/>
  <c r="C10" i="31" s="1"/>
  <c r="J9" i="2"/>
  <c r="I9" i="2"/>
  <c r="H9" i="2"/>
  <c r="G9" i="2"/>
  <c r="F9" i="2"/>
  <c r="E9" i="2"/>
  <c r="K9" i="2" s="1"/>
  <c r="D9" i="2"/>
  <c r="C9" i="33"/>
  <c r="C9" i="2"/>
  <c r="J8" i="2"/>
  <c r="I8" i="2"/>
  <c r="H8" i="2"/>
  <c r="G8" i="2"/>
  <c r="F8" i="2"/>
  <c r="L8" i="2" s="1"/>
  <c r="E8" i="2"/>
  <c r="D8" i="2"/>
  <c r="C8" i="31" s="1"/>
  <c r="C8" i="2"/>
  <c r="C7" i="33"/>
  <c r="AH26" i="2"/>
  <c r="AG26" i="2"/>
  <c r="AF26" i="2"/>
  <c r="AE26" i="2"/>
  <c r="AD26" i="2"/>
  <c r="AC26" i="2"/>
  <c r="AB26" i="2"/>
  <c r="AA26" i="2"/>
  <c r="K33" i="47"/>
  <c r="G10" i="79"/>
  <c r="I10" i="79"/>
  <c r="H10" i="79"/>
  <c r="G12" i="79"/>
  <c r="H12" i="79"/>
  <c r="H9" i="79"/>
  <c r="G9" i="79"/>
  <c r="H8" i="79"/>
  <c r="G8" i="79"/>
  <c r="H7" i="79"/>
  <c r="G7" i="79"/>
  <c r="H6" i="79"/>
  <c r="G6" i="79"/>
  <c r="K211" i="47"/>
  <c r="B6" i="44"/>
  <c r="B22" i="78"/>
  <c r="A30" i="23"/>
  <c r="R27" i="7"/>
  <c r="Q27" i="7"/>
  <c r="M27" i="8"/>
  <c r="N27" i="8"/>
  <c r="A28" i="2"/>
  <c r="E35" i="23"/>
  <c r="E32" i="23"/>
  <c r="B30" i="78"/>
  <c r="B27" i="78"/>
  <c r="B26" i="78"/>
  <c r="B25" i="78"/>
  <c r="B24" i="78"/>
  <c r="B23" i="78"/>
  <c r="B21" i="78"/>
  <c r="B20" i="78"/>
  <c r="B19" i="78"/>
  <c r="B18" i="78"/>
  <c r="B17" i="78"/>
  <c r="B16" i="78"/>
  <c r="B15" i="78"/>
  <c r="B14" i="78"/>
  <c r="B13" i="78"/>
  <c r="B12" i="78"/>
  <c r="B11" i="78"/>
  <c r="B10" i="78"/>
  <c r="B9" i="78"/>
  <c r="B8" i="78"/>
  <c r="B7" i="78"/>
  <c r="B6" i="78"/>
  <c r="C28" i="78"/>
  <c r="C31" i="78" s="1"/>
  <c r="B14" i="77"/>
  <c r="A14" i="77"/>
  <c r="B13" i="77"/>
  <c r="A13" i="77"/>
  <c r="B7" i="77"/>
  <c r="A7" i="77"/>
  <c r="B6" i="77"/>
  <c r="A6" i="77"/>
  <c r="B5" i="77"/>
  <c r="A5" i="77"/>
  <c r="C26" i="46"/>
  <c r="B26" i="46"/>
  <c r="A26" i="46"/>
  <c r="B2" i="23"/>
  <c r="A27" i="14"/>
  <c r="A27" i="15"/>
  <c r="A29" i="43"/>
  <c r="AA27" i="18"/>
  <c r="C27" i="18"/>
  <c r="A27" i="4"/>
  <c r="A28" i="5"/>
  <c r="A27" i="6"/>
  <c r="A29" i="7"/>
  <c r="A29" i="8"/>
  <c r="A28" i="20"/>
  <c r="A27" i="58"/>
  <c r="B20" i="35"/>
  <c r="C20" i="35"/>
  <c r="A20" i="35"/>
  <c r="C19" i="35"/>
  <c r="B19" i="35"/>
  <c r="A19" i="35"/>
  <c r="B20" i="64"/>
  <c r="A20" i="64"/>
  <c r="B19" i="64"/>
  <c r="A19" i="64"/>
  <c r="B18" i="64"/>
  <c r="A18" i="64"/>
  <c r="B17" i="64"/>
  <c r="A17" i="64"/>
  <c r="B16" i="64"/>
  <c r="A16" i="64"/>
  <c r="B15" i="64"/>
  <c r="A15" i="64"/>
  <c r="B14" i="64"/>
  <c r="A14" i="64"/>
  <c r="B13" i="64"/>
  <c r="A13" i="64"/>
  <c r="B12" i="64"/>
  <c r="A12" i="64"/>
  <c r="B11" i="64"/>
  <c r="A11" i="64"/>
  <c r="B10" i="64"/>
  <c r="A10" i="64"/>
  <c r="B9" i="64"/>
  <c r="A9" i="64"/>
  <c r="B8" i="64"/>
  <c r="A8" i="64"/>
  <c r="B7" i="64"/>
  <c r="A7" i="64"/>
  <c r="B6" i="64"/>
  <c r="A6" i="64"/>
  <c r="C27" i="46"/>
  <c r="C28" i="46"/>
  <c r="C29" i="46"/>
  <c r="C30" i="46"/>
  <c r="B27" i="46"/>
  <c r="B28" i="46"/>
  <c r="B29" i="46"/>
  <c r="B30" i="46"/>
  <c r="A27" i="46"/>
  <c r="A28" i="46"/>
  <c r="A29" i="46"/>
  <c r="A30" i="46"/>
  <c r="P27" i="8"/>
  <c r="O27" i="8"/>
  <c r="AB20" i="5"/>
  <c r="AA20" i="5"/>
  <c r="E21" i="30" s="1"/>
  <c r="AB19" i="5"/>
  <c r="J20" i="30"/>
  <c r="AA19" i="5"/>
  <c r="E20" i="30"/>
  <c r="AB18" i="5"/>
  <c r="J19" i="30" s="1"/>
  <c r="AA18" i="5"/>
  <c r="E19" i="30"/>
  <c r="AB17" i="5"/>
  <c r="AA17" i="5"/>
  <c r="E18" i="30" s="1"/>
  <c r="AB16" i="5"/>
  <c r="J17" i="30" s="1"/>
  <c r="AA16" i="5"/>
  <c r="E17" i="30" s="1"/>
  <c r="AB15" i="5"/>
  <c r="J16" i="30" s="1"/>
  <c r="AA15" i="5"/>
  <c r="E16" i="30" s="1"/>
  <c r="AB14" i="5"/>
  <c r="AA14" i="5"/>
  <c r="E15" i="30"/>
  <c r="AB13" i="5"/>
  <c r="J14" i="30" s="1"/>
  <c r="AA13" i="5"/>
  <c r="E14" i="30" s="1"/>
  <c r="AB12" i="5"/>
  <c r="J13" i="30" s="1"/>
  <c r="AA12" i="5"/>
  <c r="E13" i="30" s="1"/>
  <c r="AB11" i="5"/>
  <c r="J12" i="30" s="1"/>
  <c r="AA11" i="5"/>
  <c r="E12" i="30"/>
  <c r="AB10" i="5"/>
  <c r="J11" i="30" s="1"/>
  <c r="AA10" i="5"/>
  <c r="E11" i="30" s="1"/>
  <c r="AB9" i="5"/>
  <c r="AB26" i="5" s="1"/>
  <c r="AA9" i="5"/>
  <c r="AB8" i="5"/>
  <c r="J9" i="30" s="1"/>
  <c r="AA8" i="5"/>
  <c r="E9" i="30" s="1"/>
  <c r="AB7" i="5"/>
  <c r="J8" i="30" s="1"/>
  <c r="AA7" i="5"/>
  <c r="E8" i="30" s="1"/>
  <c r="AB6" i="5"/>
  <c r="J7" i="30"/>
  <c r="AA6" i="5"/>
  <c r="E7" i="30"/>
  <c r="X26" i="5"/>
  <c r="W26" i="5"/>
  <c r="X20" i="6"/>
  <c r="I21" i="30" s="1"/>
  <c r="X19" i="6"/>
  <c r="I20" i="30" s="1"/>
  <c r="L20" i="30" s="1"/>
  <c r="X18" i="6"/>
  <c r="I19" i="30" s="1"/>
  <c r="X17" i="6"/>
  <c r="I18" i="30"/>
  <c r="X16" i="6"/>
  <c r="I17" i="30" s="1"/>
  <c r="X15" i="6"/>
  <c r="X14" i="6"/>
  <c r="I15" i="30" s="1"/>
  <c r="X13" i="6"/>
  <c r="X12" i="6"/>
  <c r="I13" i="30" s="1"/>
  <c r="I27" i="30" s="1"/>
  <c r="X11" i="6"/>
  <c r="I12" i="30" s="1"/>
  <c r="X10" i="6"/>
  <c r="I11" i="30" s="1"/>
  <c r="X9" i="6"/>
  <c r="I10" i="30" s="1"/>
  <c r="X8" i="6"/>
  <c r="I9" i="30"/>
  <c r="X7" i="6"/>
  <c r="I8" i="30" s="1"/>
  <c r="X6" i="6"/>
  <c r="I7" i="30" s="1"/>
  <c r="T26" i="6"/>
  <c r="S26" i="6"/>
  <c r="C7" i="35"/>
  <c r="B7" i="35"/>
  <c r="E7" i="35" s="1"/>
  <c r="V8" i="32"/>
  <c r="V28" i="32" s="1"/>
  <c r="V9" i="32"/>
  <c r="V10" i="32"/>
  <c r="J10" i="32"/>
  <c r="J9" i="32"/>
  <c r="J8" i="32"/>
  <c r="E16" i="46"/>
  <c r="E14" i="46"/>
  <c r="E15" i="46"/>
  <c r="C16" i="46"/>
  <c r="G16" i="46" s="1"/>
  <c r="B16" i="46"/>
  <c r="A16" i="46"/>
  <c r="K23" i="47"/>
  <c r="K24" i="47"/>
  <c r="K25" i="47"/>
  <c r="K26" i="47"/>
  <c r="K22" i="47"/>
  <c r="A6" i="48"/>
  <c r="B6" i="48"/>
  <c r="E6" i="48"/>
  <c r="A7" i="48"/>
  <c r="B7" i="48"/>
  <c r="E7" i="48"/>
  <c r="A8" i="48"/>
  <c r="B8" i="48"/>
  <c r="E8" i="48"/>
  <c r="A9" i="48"/>
  <c r="B9" i="48"/>
  <c r="E9" i="48"/>
  <c r="A10" i="48"/>
  <c r="B10" i="48"/>
  <c r="E10" i="48"/>
  <c r="A11" i="48"/>
  <c r="B11" i="48"/>
  <c r="E11" i="48"/>
  <c r="A12" i="48"/>
  <c r="B12" i="48"/>
  <c r="E12" i="48"/>
  <c r="A13" i="48"/>
  <c r="B13" i="48"/>
  <c r="E13" i="48"/>
  <c r="A14" i="48"/>
  <c r="B14" i="48"/>
  <c r="E14" i="48"/>
  <c r="A15" i="48"/>
  <c r="B15" i="48"/>
  <c r="E15" i="48"/>
  <c r="A16" i="48"/>
  <c r="B16" i="48"/>
  <c r="E16" i="48"/>
  <c r="A17" i="48"/>
  <c r="B17" i="48"/>
  <c r="E17" i="48"/>
  <c r="A18" i="48"/>
  <c r="B18" i="48"/>
  <c r="E18" i="48"/>
  <c r="A19" i="48"/>
  <c r="B19" i="48"/>
  <c r="E19" i="48"/>
  <c r="A20" i="48"/>
  <c r="B20" i="48"/>
  <c r="E20" i="48"/>
  <c r="A6" i="45"/>
  <c r="B6" i="45"/>
  <c r="A7" i="45"/>
  <c r="B7" i="45"/>
  <c r="A8" i="45"/>
  <c r="B8" i="45"/>
  <c r="A9" i="45"/>
  <c r="B9" i="45"/>
  <c r="A10" i="45"/>
  <c r="B10" i="45"/>
  <c r="A11" i="45"/>
  <c r="B11" i="45"/>
  <c r="A12" i="45"/>
  <c r="B12" i="45"/>
  <c r="A13" i="45"/>
  <c r="B13" i="45"/>
  <c r="A14" i="45"/>
  <c r="B14" i="45"/>
  <c r="A15" i="45"/>
  <c r="B15" i="45"/>
  <c r="A16" i="45"/>
  <c r="B16" i="45"/>
  <c r="D16" i="45"/>
  <c r="A17" i="45"/>
  <c r="B17" i="45"/>
  <c r="A18" i="45"/>
  <c r="B18" i="45"/>
  <c r="A19" i="45"/>
  <c r="B19" i="45"/>
  <c r="A20" i="45"/>
  <c r="B20" i="45"/>
  <c r="A25" i="45"/>
  <c r="B25" i="45"/>
  <c r="C4" i="44"/>
  <c r="A6" i="44"/>
  <c r="A7" i="44"/>
  <c r="B7" i="44"/>
  <c r="A8" i="44"/>
  <c r="B8" i="44"/>
  <c r="A9" i="44"/>
  <c r="B9" i="44"/>
  <c r="A10" i="44"/>
  <c r="B10" i="44"/>
  <c r="A11" i="44"/>
  <c r="B11" i="44"/>
  <c r="A12" i="44"/>
  <c r="B12" i="44"/>
  <c r="A13" i="44"/>
  <c r="B13" i="44"/>
  <c r="A14" i="44"/>
  <c r="B14" i="44"/>
  <c r="A15" i="44"/>
  <c r="B15" i="44"/>
  <c r="A16" i="44"/>
  <c r="B16" i="44"/>
  <c r="F16" i="44"/>
  <c r="A17" i="44"/>
  <c r="B17" i="44"/>
  <c r="A18" i="44"/>
  <c r="B18" i="44"/>
  <c r="A19" i="44"/>
  <c r="B19" i="44"/>
  <c r="A20" i="44"/>
  <c r="B20" i="44"/>
  <c r="A6" i="46"/>
  <c r="B6" i="46"/>
  <c r="C6" i="46"/>
  <c r="A7" i="46"/>
  <c r="B7" i="46"/>
  <c r="C7" i="46"/>
  <c r="A8" i="46"/>
  <c r="B8" i="46"/>
  <c r="C8" i="46"/>
  <c r="A9" i="46"/>
  <c r="B9" i="46"/>
  <c r="C9" i="46"/>
  <c r="A10" i="46"/>
  <c r="B10" i="46"/>
  <c r="C10" i="46"/>
  <c r="A11" i="46"/>
  <c r="B11" i="46"/>
  <c r="C11" i="46"/>
  <c r="A12" i="46"/>
  <c r="B12" i="46"/>
  <c r="C12" i="46"/>
  <c r="A13" i="46"/>
  <c r="B13" i="46"/>
  <c r="C13" i="46"/>
  <c r="A14" i="46"/>
  <c r="B14" i="46"/>
  <c r="C14" i="46"/>
  <c r="G14" i="46" s="1"/>
  <c r="A15" i="46"/>
  <c r="B15" i="46"/>
  <c r="C15" i="46"/>
  <c r="G15" i="46" s="1"/>
  <c r="A17" i="46"/>
  <c r="B17" i="46"/>
  <c r="C17" i="46"/>
  <c r="A18" i="46"/>
  <c r="B18" i="46"/>
  <c r="C18" i="46"/>
  <c r="A19" i="46"/>
  <c r="B19" i="46"/>
  <c r="C19" i="46"/>
  <c r="A20" i="46"/>
  <c r="B20" i="46"/>
  <c r="C20" i="46"/>
  <c r="A21" i="46"/>
  <c r="B21" i="46"/>
  <c r="C21" i="46"/>
  <c r="A22" i="46"/>
  <c r="B22" i="46"/>
  <c r="C22" i="46"/>
  <c r="A23" i="46"/>
  <c r="B23" i="46"/>
  <c r="C23" i="46"/>
  <c r="A24" i="46"/>
  <c r="B24" i="46"/>
  <c r="C24" i="46"/>
  <c r="A25" i="46"/>
  <c r="B25" i="46"/>
  <c r="C25" i="46"/>
  <c r="A6" i="29"/>
  <c r="B6" i="29"/>
  <c r="A7" i="29"/>
  <c r="B7" i="29"/>
  <c r="A8" i="29"/>
  <c r="B8" i="29"/>
  <c r="A9" i="29"/>
  <c r="B9" i="29"/>
  <c r="A10" i="29"/>
  <c r="B10" i="29"/>
  <c r="A11" i="29"/>
  <c r="B11" i="29"/>
  <c r="A12" i="29"/>
  <c r="B12" i="29"/>
  <c r="C12" i="29"/>
  <c r="E12" i="29" s="1"/>
  <c r="I12" i="29" s="1"/>
  <c r="A13" i="29"/>
  <c r="B13" i="29"/>
  <c r="A14" i="29"/>
  <c r="B14" i="29"/>
  <c r="A15" i="29"/>
  <c r="B15" i="29"/>
  <c r="A16" i="29"/>
  <c r="B16" i="29"/>
  <c r="A17" i="29"/>
  <c r="B17" i="29"/>
  <c r="A18" i="29"/>
  <c r="B18" i="29"/>
  <c r="A19" i="29"/>
  <c r="B19" i="29"/>
  <c r="A20" i="29"/>
  <c r="B20" i="29"/>
  <c r="C13" i="35"/>
  <c r="C14" i="35"/>
  <c r="C15" i="35"/>
  <c r="C16" i="35"/>
  <c r="B5" i="35"/>
  <c r="C5" i="35"/>
  <c r="B6" i="35"/>
  <c r="E6" i="35" s="1"/>
  <c r="C6" i="35"/>
  <c r="C4" i="33"/>
  <c r="A6" i="33"/>
  <c r="B6" i="33"/>
  <c r="A7" i="33"/>
  <c r="B7" i="33"/>
  <c r="A8" i="33"/>
  <c r="B8" i="33"/>
  <c r="A9" i="33"/>
  <c r="B9" i="33"/>
  <c r="A10" i="33"/>
  <c r="B10" i="33"/>
  <c r="A11" i="33"/>
  <c r="B11" i="33"/>
  <c r="A12" i="33"/>
  <c r="B12" i="33"/>
  <c r="A13" i="33"/>
  <c r="B13" i="33"/>
  <c r="A14" i="33"/>
  <c r="B14" i="33"/>
  <c r="A15" i="33"/>
  <c r="B15" i="33"/>
  <c r="A16" i="33"/>
  <c r="B16" i="33"/>
  <c r="A17" i="33"/>
  <c r="B17" i="33"/>
  <c r="A18" i="33"/>
  <c r="B18" i="33"/>
  <c r="A19" i="33"/>
  <c r="B19" i="33"/>
  <c r="A20" i="33"/>
  <c r="B20" i="33"/>
  <c r="A26" i="33"/>
  <c r="A3" i="32"/>
  <c r="C6" i="32"/>
  <c r="O6" i="32"/>
  <c r="A8" i="32"/>
  <c r="B8" i="32"/>
  <c r="D8" i="32"/>
  <c r="E8" i="32"/>
  <c r="F8" i="32"/>
  <c r="G8" i="32"/>
  <c r="H8" i="32"/>
  <c r="I8" i="32"/>
  <c r="P8" i="32"/>
  <c r="Q8" i="32"/>
  <c r="R8" i="32"/>
  <c r="S8" i="32"/>
  <c r="T8" i="32"/>
  <c r="U8" i="32"/>
  <c r="A9" i="32"/>
  <c r="B9" i="32"/>
  <c r="D9" i="32"/>
  <c r="E9" i="32"/>
  <c r="F9" i="32"/>
  <c r="G9" i="32"/>
  <c r="H9" i="32"/>
  <c r="H10" i="32"/>
  <c r="I9" i="32"/>
  <c r="P9" i="32"/>
  <c r="Q9" i="32"/>
  <c r="R9" i="32"/>
  <c r="S9" i="32"/>
  <c r="T9" i="32"/>
  <c r="U9" i="32"/>
  <c r="A10" i="32"/>
  <c r="B10" i="32"/>
  <c r="D10" i="32"/>
  <c r="D28" i="32" s="1"/>
  <c r="E10" i="32"/>
  <c r="F10" i="32"/>
  <c r="G10" i="32"/>
  <c r="I10" i="32"/>
  <c r="P10" i="32"/>
  <c r="Q10" i="32"/>
  <c r="R10" i="32"/>
  <c r="R28" i="32" s="1"/>
  <c r="S10" i="32"/>
  <c r="T10" i="32"/>
  <c r="U10" i="32"/>
  <c r="A11" i="32"/>
  <c r="B11" i="32"/>
  <c r="A12" i="32"/>
  <c r="B12" i="32"/>
  <c r="A13" i="32"/>
  <c r="B13" i="32"/>
  <c r="A14" i="32"/>
  <c r="B14" i="32"/>
  <c r="A15" i="32"/>
  <c r="B15" i="32"/>
  <c r="A16" i="32"/>
  <c r="B16" i="32"/>
  <c r="A17" i="32"/>
  <c r="B17" i="32"/>
  <c r="A18" i="32"/>
  <c r="B18" i="32"/>
  <c r="A19" i="32"/>
  <c r="B19" i="32"/>
  <c r="A20" i="32"/>
  <c r="B20" i="32"/>
  <c r="A21" i="32"/>
  <c r="B21" i="32"/>
  <c r="A22" i="32"/>
  <c r="B22" i="32"/>
  <c r="A28" i="32"/>
  <c r="A3" i="30"/>
  <c r="C5" i="30"/>
  <c r="H5" i="30"/>
  <c r="A7" i="30"/>
  <c r="B7" i="30"/>
  <c r="A8" i="30"/>
  <c r="B8" i="30"/>
  <c r="A9" i="30"/>
  <c r="B9" i="30"/>
  <c r="A10" i="30"/>
  <c r="B10" i="30"/>
  <c r="A11" i="30"/>
  <c r="B11" i="30"/>
  <c r="A12" i="30"/>
  <c r="B12" i="30"/>
  <c r="A13" i="30"/>
  <c r="B13" i="30"/>
  <c r="A14" i="30"/>
  <c r="B14" i="30"/>
  <c r="A15" i="30"/>
  <c r="B15" i="30"/>
  <c r="A16" i="30"/>
  <c r="B16" i="30"/>
  <c r="A17" i="30"/>
  <c r="B17" i="30"/>
  <c r="A18" i="30"/>
  <c r="B18" i="30"/>
  <c r="A19" i="30"/>
  <c r="B19" i="30"/>
  <c r="A20" i="30"/>
  <c r="B20" i="30"/>
  <c r="A21" i="30"/>
  <c r="B21" i="30"/>
  <c r="A27" i="30"/>
  <c r="A3" i="31"/>
  <c r="C4" i="31"/>
  <c r="H4" i="31"/>
  <c r="I4" i="31"/>
  <c r="A6" i="31"/>
  <c r="B6" i="31"/>
  <c r="A7" i="31"/>
  <c r="B7" i="31"/>
  <c r="A8" i="31"/>
  <c r="B8" i="31"/>
  <c r="A9" i="31"/>
  <c r="B9" i="31"/>
  <c r="A10" i="31"/>
  <c r="B10" i="31"/>
  <c r="A11" i="31"/>
  <c r="B11" i="31"/>
  <c r="A12" i="31"/>
  <c r="B12" i="31"/>
  <c r="A13" i="31"/>
  <c r="B13" i="31"/>
  <c r="A14" i="31"/>
  <c r="B14" i="31"/>
  <c r="A15" i="31"/>
  <c r="B15" i="31"/>
  <c r="A16" i="31"/>
  <c r="B16" i="31"/>
  <c r="A17" i="31"/>
  <c r="B17" i="31"/>
  <c r="A18" i="31"/>
  <c r="B18" i="31"/>
  <c r="A19" i="31"/>
  <c r="B19" i="31"/>
  <c r="A20" i="31"/>
  <c r="B20" i="31"/>
  <c r="A25" i="31"/>
  <c r="B25" i="31"/>
  <c r="A26" i="31"/>
  <c r="F5" i="58"/>
  <c r="J5" i="58"/>
  <c r="L5" i="58"/>
  <c r="N5" i="58"/>
  <c r="O5" i="58"/>
  <c r="T5" i="58"/>
  <c r="A6" i="58"/>
  <c r="B6" i="58"/>
  <c r="A7" i="58"/>
  <c r="B7" i="58"/>
  <c r="A8" i="58"/>
  <c r="B8" i="58"/>
  <c r="A9" i="58"/>
  <c r="B9" i="58"/>
  <c r="A10" i="58"/>
  <c r="B10" i="58"/>
  <c r="A11" i="58"/>
  <c r="B11" i="58"/>
  <c r="A12" i="58"/>
  <c r="B12" i="58"/>
  <c r="A13" i="58"/>
  <c r="B13" i="58"/>
  <c r="A14" i="58"/>
  <c r="B14" i="58"/>
  <c r="A15" i="58"/>
  <c r="B15" i="58"/>
  <c r="A16" i="58"/>
  <c r="B16" i="58"/>
  <c r="A17" i="58"/>
  <c r="B17" i="58"/>
  <c r="A18" i="58"/>
  <c r="B18" i="58"/>
  <c r="A19" i="58"/>
  <c r="B19" i="58"/>
  <c r="A20" i="58"/>
  <c r="B20" i="58"/>
  <c r="A6" i="14"/>
  <c r="B6" i="14"/>
  <c r="A7" i="14"/>
  <c r="B7" i="14"/>
  <c r="A8" i="14"/>
  <c r="B8" i="14"/>
  <c r="A9" i="14"/>
  <c r="B9" i="14"/>
  <c r="A10" i="14"/>
  <c r="B10" i="14"/>
  <c r="A11" i="14"/>
  <c r="B11" i="14"/>
  <c r="A12" i="14"/>
  <c r="B12" i="14"/>
  <c r="A13" i="14"/>
  <c r="B13" i="14"/>
  <c r="A14" i="14"/>
  <c r="B14" i="14"/>
  <c r="A15" i="14"/>
  <c r="B15" i="14"/>
  <c r="A16" i="14"/>
  <c r="B16" i="14"/>
  <c r="A17" i="14"/>
  <c r="B17" i="14"/>
  <c r="A18" i="14"/>
  <c r="B18" i="14"/>
  <c r="A19" i="14"/>
  <c r="B19" i="14"/>
  <c r="A20" i="14"/>
  <c r="B20" i="14"/>
  <c r="A6" i="15"/>
  <c r="B6" i="15"/>
  <c r="A7" i="15"/>
  <c r="B7" i="15"/>
  <c r="A8" i="15"/>
  <c r="B8" i="15"/>
  <c r="A9" i="15"/>
  <c r="B9" i="15"/>
  <c r="A10" i="15"/>
  <c r="B10" i="15"/>
  <c r="A11" i="15"/>
  <c r="B11" i="15"/>
  <c r="A12" i="15"/>
  <c r="B12" i="15"/>
  <c r="A13" i="15"/>
  <c r="B13" i="15"/>
  <c r="A14" i="15"/>
  <c r="B14" i="15"/>
  <c r="A15" i="15"/>
  <c r="B15" i="15"/>
  <c r="A16" i="15"/>
  <c r="B16" i="15"/>
  <c r="A17" i="15"/>
  <c r="B17" i="15"/>
  <c r="A18" i="15"/>
  <c r="B18" i="15"/>
  <c r="A19" i="15"/>
  <c r="B19" i="15"/>
  <c r="A20" i="15"/>
  <c r="B20" i="15"/>
  <c r="A8" i="43"/>
  <c r="B8" i="43"/>
  <c r="A9" i="43"/>
  <c r="B9" i="43"/>
  <c r="A10" i="43"/>
  <c r="B10" i="43"/>
  <c r="A11" i="43"/>
  <c r="B11" i="43"/>
  <c r="A12" i="43"/>
  <c r="B12" i="43"/>
  <c r="A13" i="43"/>
  <c r="B13" i="43"/>
  <c r="A14" i="43"/>
  <c r="B14" i="43"/>
  <c r="A15" i="43"/>
  <c r="B15" i="43"/>
  <c r="A16" i="43"/>
  <c r="B16" i="43"/>
  <c r="A17" i="43"/>
  <c r="B17" i="43"/>
  <c r="A18" i="43"/>
  <c r="B18" i="43"/>
  <c r="A19" i="43"/>
  <c r="B19" i="43"/>
  <c r="A20" i="43"/>
  <c r="B20" i="43"/>
  <c r="A21" i="43"/>
  <c r="B21" i="43"/>
  <c r="A22" i="43"/>
  <c r="B22" i="43"/>
  <c r="A6" i="18"/>
  <c r="B6" i="18"/>
  <c r="AU6" i="18"/>
  <c r="L8" i="32" s="1"/>
  <c r="AV6" i="18"/>
  <c r="X8" i="32" s="1"/>
  <c r="A7" i="18"/>
  <c r="B7" i="18"/>
  <c r="AU7" i="18"/>
  <c r="L9" i="32" s="1"/>
  <c r="AV7" i="18"/>
  <c r="A8" i="18"/>
  <c r="B8" i="18"/>
  <c r="AU8" i="18"/>
  <c r="AV8" i="18"/>
  <c r="X10" i="32" s="1"/>
  <c r="A9" i="18"/>
  <c r="B9" i="18"/>
  <c r="AU9" i="18"/>
  <c r="AV9" i="18"/>
  <c r="X11" i="32" s="1"/>
  <c r="A10" i="18"/>
  <c r="B10" i="18"/>
  <c r="AU10" i="18"/>
  <c r="L12" i="32" s="1"/>
  <c r="AV10" i="18"/>
  <c r="X12" i="32" s="1"/>
  <c r="A11" i="18"/>
  <c r="B11" i="18"/>
  <c r="AU11" i="18"/>
  <c r="L13" i="32" s="1"/>
  <c r="AV11" i="18"/>
  <c r="X13" i="32" s="1"/>
  <c r="A12" i="18"/>
  <c r="B12" i="18"/>
  <c r="AU12" i="18"/>
  <c r="L14" i="32" s="1"/>
  <c r="AV12" i="18"/>
  <c r="X14" i="32" s="1"/>
  <c r="A13" i="18"/>
  <c r="B13" i="18"/>
  <c r="AU13" i="18"/>
  <c r="L15" i="32" s="1"/>
  <c r="AV13" i="18"/>
  <c r="X15" i="32" s="1"/>
  <c r="A14" i="18"/>
  <c r="B14" i="18"/>
  <c r="AU14" i="18"/>
  <c r="L16" i="32" s="1"/>
  <c r="AV14" i="18"/>
  <c r="X16" i="32" s="1"/>
  <c r="A15" i="18"/>
  <c r="B15" i="18"/>
  <c r="AU15" i="18"/>
  <c r="L17" i="32" s="1"/>
  <c r="AV15" i="18"/>
  <c r="X17" i="32" s="1"/>
  <c r="A16" i="18"/>
  <c r="B16" i="18"/>
  <c r="AU16" i="18"/>
  <c r="L18" i="32" s="1"/>
  <c r="AV16" i="18"/>
  <c r="X18" i="32" s="1"/>
  <c r="A17" i="18"/>
  <c r="B17" i="18"/>
  <c r="AU17" i="18"/>
  <c r="L19" i="32" s="1"/>
  <c r="AV17" i="18"/>
  <c r="X19" i="32" s="1"/>
  <c r="A18" i="18"/>
  <c r="B18" i="18"/>
  <c r="AU18" i="18"/>
  <c r="L20" i="32" s="1"/>
  <c r="AV18" i="18"/>
  <c r="X20" i="32" s="1"/>
  <c r="A19" i="18"/>
  <c r="B19" i="18"/>
  <c r="AU19" i="18"/>
  <c r="L21" i="32" s="1"/>
  <c r="AV19" i="18"/>
  <c r="X21" i="32" s="1"/>
  <c r="A20" i="18"/>
  <c r="B20" i="18"/>
  <c r="AU20" i="18"/>
  <c r="L22" i="32" s="1"/>
  <c r="AV20" i="18"/>
  <c r="X22" i="32" s="1"/>
  <c r="C26" i="18"/>
  <c r="D26" i="18"/>
  <c r="E26" i="18"/>
  <c r="F26" i="18"/>
  <c r="G26" i="18"/>
  <c r="H26" i="18"/>
  <c r="I26" i="18"/>
  <c r="J26" i="18"/>
  <c r="K26" i="18"/>
  <c r="L26" i="18"/>
  <c r="M26" i="18"/>
  <c r="N26" i="18"/>
  <c r="O26" i="18"/>
  <c r="P26" i="18"/>
  <c r="Q26" i="18"/>
  <c r="R26" i="18"/>
  <c r="S26" i="18"/>
  <c r="T26" i="18"/>
  <c r="U26" i="18"/>
  <c r="V26" i="18"/>
  <c r="W26" i="18"/>
  <c r="X26" i="18"/>
  <c r="Y26" i="18"/>
  <c r="Z26" i="18"/>
  <c r="AA26" i="18"/>
  <c r="AB26" i="18"/>
  <c r="AC26" i="18"/>
  <c r="AD26" i="18"/>
  <c r="AE26" i="18"/>
  <c r="AF26" i="18"/>
  <c r="AG26" i="18"/>
  <c r="AH26" i="18"/>
  <c r="AI26" i="18"/>
  <c r="AJ26" i="18"/>
  <c r="AK26" i="18"/>
  <c r="AL26" i="18"/>
  <c r="AM26" i="18"/>
  <c r="AN26" i="18"/>
  <c r="AO26" i="18"/>
  <c r="AP26" i="18"/>
  <c r="AQ26" i="18"/>
  <c r="AR26" i="18"/>
  <c r="AS26" i="18"/>
  <c r="AT26" i="18"/>
  <c r="A6" i="4"/>
  <c r="B6" i="4"/>
  <c r="P6" i="4"/>
  <c r="K7" i="30" s="1"/>
  <c r="A7" i="4"/>
  <c r="B7" i="4"/>
  <c r="P7" i="4"/>
  <c r="K8" i="30" s="1"/>
  <c r="A8" i="4"/>
  <c r="B8" i="4"/>
  <c r="P8" i="4"/>
  <c r="K9" i="30"/>
  <c r="A9" i="4"/>
  <c r="B9" i="4"/>
  <c r="P9" i="4"/>
  <c r="K10" i="30" s="1"/>
  <c r="A10" i="4"/>
  <c r="B10" i="4"/>
  <c r="P10" i="4"/>
  <c r="K11" i="30" s="1"/>
  <c r="A11" i="4"/>
  <c r="B11" i="4"/>
  <c r="P11" i="4"/>
  <c r="A12" i="4"/>
  <c r="B12" i="4"/>
  <c r="P12" i="4"/>
  <c r="K13" i="30" s="1"/>
  <c r="A13" i="4"/>
  <c r="B13" i="4"/>
  <c r="P13" i="4"/>
  <c r="K14" i="30" s="1"/>
  <c r="A14" i="4"/>
  <c r="B14" i="4"/>
  <c r="P14" i="4"/>
  <c r="K15" i="30"/>
  <c r="A15" i="4"/>
  <c r="B15" i="4"/>
  <c r="P15" i="4"/>
  <c r="K16" i="30" s="1"/>
  <c r="A16" i="4"/>
  <c r="B16" i="4"/>
  <c r="P16" i="4"/>
  <c r="K17" i="30" s="1"/>
  <c r="A17" i="4"/>
  <c r="B17" i="4"/>
  <c r="P17" i="4"/>
  <c r="K18" i="30" s="1"/>
  <c r="A18" i="4"/>
  <c r="B18" i="4"/>
  <c r="P18" i="4"/>
  <c r="K19" i="30" s="1"/>
  <c r="A19" i="4"/>
  <c r="B19" i="4"/>
  <c r="P19" i="4"/>
  <c r="K20" i="30" s="1"/>
  <c r="A20" i="4"/>
  <c r="B20" i="4"/>
  <c r="P20" i="4"/>
  <c r="K21" i="30" s="1"/>
  <c r="C26" i="4"/>
  <c r="D26" i="4"/>
  <c r="E26" i="4"/>
  <c r="F26" i="4"/>
  <c r="G26" i="4"/>
  <c r="H26" i="4"/>
  <c r="I26" i="4"/>
  <c r="J26" i="4"/>
  <c r="K26" i="4"/>
  <c r="L26" i="4"/>
  <c r="M26" i="4"/>
  <c r="N26" i="4"/>
  <c r="A6" i="5"/>
  <c r="B6" i="5"/>
  <c r="A7" i="5"/>
  <c r="B7" i="5"/>
  <c r="A8" i="5"/>
  <c r="B8" i="5"/>
  <c r="A9" i="5"/>
  <c r="B9" i="5"/>
  <c r="A10" i="5"/>
  <c r="B10" i="5"/>
  <c r="A11" i="5"/>
  <c r="B11" i="5"/>
  <c r="A12" i="5"/>
  <c r="B12" i="5"/>
  <c r="A13" i="5"/>
  <c r="B13" i="5"/>
  <c r="A14" i="5"/>
  <c r="B14" i="5"/>
  <c r="J15" i="30"/>
  <c r="A15" i="5"/>
  <c r="B15" i="5"/>
  <c r="A16" i="5"/>
  <c r="B16" i="5"/>
  <c r="A17" i="5"/>
  <c r="B17" i="5"/>
  <c r="J18" i="30"/>
  <c r="A18" i="5"/>
  <c r="B18" i="5"/>
  <c r="A19" i="5"/>
  <c r="B19" i="5"/>
  <c r="A20" i="5"/>
  <c r="B20" i="5"/>
  <c r="C26" i="5"/>
  <c r="D26" i="5"/>
  <c r="E26" i="5"/>
  <c r="F26" i="5"/>
  <c r="G26" i="5"/>
  <c r="H26" i="5"/>
  <c r="I26" i="5"/>
  <c r="J26" i="5"/>
  <c r="K26" i="5"/>
  <c r="L26" i="5"/>
  <c r="M26" i="5"/>
  <c r="N26" i="5"/>
  <c r="O26" i="5"/>
  <c r="P26" i="5"/>
  <c r="Q26" i="5"/>
  <c r="R26" i="5"/>
  <c r="S26" i="5"/>
  <c r="T26" i="5"/>
  <c r="U26" i="5"/>
  <c r="V26" i="5"/>
  <c r="Y26" i="5"/>
  <c r="Z26" i="5"/>
  <c r="A6" i="6"/>
  <c r="B6" i="6"/>
  <c r="A7" i="6"/>
  <c r="B7" i="6"/>
  <c r="A8" i="6"/>
  <c r="B8" i="6"/>
  <c r="A9" i="6"/>
  <c r="B9" i="6"/>
  <c r="A10" i="6"/>
  <c r="B10" i="6"/>
  <c r="A11" i="6"/>
  <c r="B11" i="6"/>
  <c r="A12" i="6"/>
  <c r="B12" i="6"/>
  <c r="A13" i="6"/>
  <c r="B13" i="6"/>
  <c r="I14" i="30"/>
  <c r="A14" i="6"/>
  <c r="B14" i="6"/>
  <c r="A15" i="6"/>
  <c r="B15" i="6"/>
  <c r="I16" i="30"/>
  <c r="A16" i="6"/>
  <c r="B16" i="6"/>
  <c r="A17" i="6"/>
  <c r="B17" i="6"/>
  <c r="A18" i="6"/>
  <c r="B18" i="6"/>
  <c r="A19" i="6"/>
  <c r="B19" i="6"/>
  <c r="A20" i="6"/>
  <c r="B20" i="6"/>
  <c r="C26" i="6"/>
  <c r="D26" i="6"/>
  <c r="E26" i="6"/>
  <c r="F26" i="6"/>
  <c r="G26" i="6"/>
  <c r="H26" i="6"/>
  <c r="I26" i="6"/>
  <c r="J26" i="6"/>
  <c r="K26" i="6"/>
  <c r="L26" i="6"/>
  <c r="M26" i="6"/>
  <c r="N26" i="6"/>
  <c r="O26" i="6"/>
  <c r="P26" i="6"/>
  <c r="Q26" i="6"/>
  <c r="R26" i="6"/>
  <c r="U26" i="6"/>
  <c r="V26" i="6"/>
  <c r="A7" i="7"/>
  <c r="B7" i="7"/>
  <c r="A8" i="7"/>
  <c r="B8" i="7"/>
  <c r="A9" i="7"/>
  <c r="B9" i="7"/>
  <c r="A10" i="7"/>
  <c r="B10" i="7"/>
  <c r="A11" i="7"/>
  <c r="B11" i="7"/>
  <c r="A12" i="7"/>
  <c r="B12" i="7"/>
  <c r="A13" i="7"/>
  <c r="B13" i="7"/>
  <c r="A14" i="7"/>
  <c r="B14" i="7"/>
  <c r="A15" i="7"/>
  <c r="B15" i="7"/>
  <c r="A16" i="7"/>
  <c r="B16" i="7"/>
  <c r="A17" i="7"/>
  <c r="B17" i="7"/>
  <c r="A18" i="7"/>
  <c r="B18" i="7"/>
  <c r="A19" i="7"/>
  <c r="B19" i="7"/>
  <c r="A20" i="7"/>
  <c r="B20" i="7"/>
  <c r="A21" i="7"/>
  <c r="B21" i="7"/>
  <c r="C27" i="7"/>
  <c r="D27" i="7"/>
  <c r="E27" i="7"/>
  <c r="F27" i="7"/>
  <c r="G27" i="7"/>
  <c r="H27" i="7"/>
  <c r="I27" i="7"/>
  <c r="J27" i="7"/>
  <c r="K27" i="7"/>
  <c r="L27" i="7"/>
  <c r="M27" i="7"/>
  <c r="N27" i="7"/>
  <c r="O27" i="7"/>
  <c r="P27" i="7"/>
  <c r="A7" i="8"/>
  <c r="B7" i="8"/>
  <c r="A8" i="8"/>
  <c r="B8" i="8"/>
  <c r="A9" i="8"/>
  <c r="B9" i="8"/>
  <c r="A10" i="8"/>
  <c r="B10" i="8"/>
  <c r="A11" i="8"/>
  <c r="B11" i="8"/>
  <c r="A12" i="8"/>
  <c r="B12" i="8"/>
  <c r="A13" i="8"/>
  <c r="B13" i="8"/>
  <c r="A14" i="8"/>
  <c r="B14" i="8"/>
  <c r="A15" i="8"/>
  <c r="B15" i="8"/>
  <c r="A16" i="8"/>
  <c r="B16" i="8"/>
  <c r="A17" i="8"/>
  <c r="B17" i="8"/>
  <c r="A18" i="8"/>
  <c r="B18" i="8"/>
  <c r="A19" i="8"/>
  <c r="B19" i="8"/>
  <c r="A20" i="8"/>
  <c r="B20" i="8"/>
  <c r="A21" i="8"/>
  <c r="B21" i="8"/>
  <c r="C27" i="8"/>
  <c r="D27" i="8"/>
  <c r="E27" i="8"/>
  <c r="F27" i="8"/>
  <c r="G27" i="8"/>
  <c r="H27" i="8"/>
  <c r="I27" i="8"/>
  <c r="J27" i="8"/>
  <c r="K27" i="8"/>
  <c r="L27" i="8"/>
  <c r="A6" i="20"/>
  <c r="B6" i="20"/>
  <c r="A7" i="20"/>
  <c r="B7" i="20"/>
  <c r="A8" i="20"/>
  <c r="B8" i="20"/>
  <c r="A9" i="20"/>
  <c r="B9" i="20"/>
  <c r="A10" i="20"/>
  <c r="B10" i="20"/>
  <c r="A11" i="20"/>
  <c r="B11" i="20"/>
  <c r="A12" i="20"/>
  <c r="B12" i="20"/>
  <c r="A13" i="20"/>
  <c r="B13" i="20"/>
  <c r="A14" i="20"/>
  <c r="B14" i="20"/>
  <c r="A15" i="20"/>
  <c r="B15" i="20"/>
  <c r="A16" i="20"/>
  <c r="B16" i="20"/>
  <c r="A17" i="20"/>
  <c r="B17" i="20"/>
  <c r="A18" i="20"/>
  <c r="B18" i="20"/>
  <c r="A19" i="20"/>
  <c r="B19" i="20"/>
  <c r="A20" i="20"/>
  <c r="B20" i="20"/>
  <c r="C26" i="20"/>
  <c r="D26" i="20"/>
  <c r="E26" i="20"/>
  <c r="F26" i="20"/>
  <c r="G26" i="20"/>
  <c r="H26" i="20"/>
  <c r="I26" i="20"/>
  <c r="J26" i="20"/>
  <c r="K26" i="20"/>
  <c r="L26" i="20"/>
  <c r="M26" i="20"/>
  <c r="N26" i="20"/>
  <c r="O26" i="20"/>
  <c r="P26" i="20"/>
  <c r="A1" i="53"/>
  <c r="D19" i="53"/>
  <c r="E19" i="53"/>
  <c r="F19" i="53"/>
  <c r="G19" i="53"/>
  <c r="H19" i="53"/>
  <c r="I19" i="53"/>
  <c r="J19" i="53"/>
  <c r="K19" i="53"/>
  <c r="C4" i="2"/>
  <c r="K4" i="2"/>
  <c r="K59" i="47"/>
  <c r="K62" i="47"/>
  <c r="E8" i="31"/>
  <c r="D7" i="31"/>
  <c r="C3" i="47"/>
  <c r="A1" i="29"/>
  <c r="A1" i="4"/>
  <c r="A1" i="15"/>
  <c r="A1" i="44"/>
  <c r="A1" i="48"/>
  <c r="E13" i="31"/>
  <c r="E15" i="31"/>
  <c r="E7" i="31"/>
  <c r="A1" i="78"/>
  <c r="E12" i="46"/>
  <c r="K10" i="79"/>
  <c r="D14" i="45"/>
  <c r="D21" i="35"/>
  <c r="A1" i="91"/>
  <c r="AK9" i="2"/>
  <c r="AJ9" i="15"/>
  <c r="C14" i="31"/>
  <c r="AK17" i="2"/>
  <c r="AJ17" i="15" s="1"/>
  <c r="AK18" i="2"/>
  <c r="AJ18" i="15" s="1"/>
  <c r="D12" i="29"/>
  <c r="E14" i="58"/>
  <c r="T14" i="58" s="1"/>
  <c r="E14" i="91"/>
  <c r="I7" i="79"/>
  <c r="C14" i="29"/>
  <c r="E14" i="29" s="1"/>
  <c r="D25" i="45"/>
  <c r="I6" i="79"/>
  <c r="K6" i="79"/>
  <c r="J21" i="30"/>
  <c r="E10" i="30"/>
  <c r="H13" i="79"/>
  <c r="D18" i="31"/>
  <c r="H10" i="48"/>
  <c r="D18" i="33"/>
  <c r="D20" i="33"/>
  <c r="H7" i="48"/>
  <c r="D7" i="33"/>
  <c r="D7" i="44"/>
  <c r="D10" i="44"/>
  <c r="H18" i="48"/>
  <c r="D11" i="31"/>
  <c r="D11" i="33"/>
  <c r="D11" i="44"/>
  <c r="D7" i="35"/>
  <c r="K12" i="79"/>
  <c r="L15" i="2"/>
  <c r="O17" i="32" s="1"/>
  <c r="C16" i="31"/>
  <c r="D20" i="35"/>
  <c r="E19" i="35"/>
  <c r="I12" i="79"/>
  <c r="K16" i="2"/>
  <c r="C18" i="32" s="1"/>
  <c r="E12" i="91"/>
  <c r="F12" i="44"/>
  <c r="E12" i="58"/>
  <c r="R12" i="58" s="1"/>
  <c r="D12" i="45"/>
  <c r="D19" i="35"/>
  <c r="D20" i="30"/>
  <c r="D15" i="31"/>
  <c r="D15" i="33"/>
  <c r="D15" i="44"/>
  <c r="H15" i="48"/>
  <c r="H16" i="30"/>
  <c r="X9" i="32"/>
  <c r="C17" i="31"/>
  <c r="C17" i="33"/>
  <c r="C19" i="33"/>
  <c r="C19" i="31"/>
  <c r="E25" i="91"/>
  <c r="K9" i="79"/>
  <c r="I9" i="79"/>
  <c r="D18" i="29"/>
  <c r="E17" i="31"/>
  <c r="D18" i="44"/>
  <c r="C240" i="47"/>
  <c r="F7" i="44"/>
  <c r="J14" i="58"/>
  <c r="F20" i="44"/>
  <c r="O14" i="58"/>
  <c r="C25" i="29"/>
  <c r="E25" i="29" s="1"/>
  <c r="I25" i="29" s="1"/>
  <c r="AQ20" i="15"/>
  <c r="F25" i="44"/>
  <c r="E7" i="58"/>
  <c r="J7" i="58" s="1"/>
  <c r="D7" i="45"/>
  <c r="AQ25" i="15"/>
  <c r="C7" i="29"/>
  <c r="E7" i="29" s="1"/>
  <c r="H7" i="29" s="1"/>
  <c r="Q14" i="58"/>
  <c r="D6" i="29"/>
  <c r="AQ7" i="15"/>
  <c r="E20" i="31"/>
  <c r="E12" i="31"/>
  <c r="E9" i="33"/>
  <c r="E6" i="33"/>
  <c r="E8" i="33"/>
  <c r="E6" i="31"/>
  <c r="H14" i="48"/>
  <c r="D19" i="44"/>
  <c r="D19" i="33"/>
  <c r="D19" i="31"/>
  <c r="D14" i="44"/>
  <c r="D14" i="31"/>
  <c r="D8" i="44"/>
  <c r="D17" i="44"/>
  <c r="G13" i="79"/>
  <c r="I13" i="79" s="1"/>
  <c r="K11" i="79"/>
  <c r="L8" i="79"/>
  <c r="I8" i="79"/>
  <c r="L7" i="79"/>
  <c r="L12" i="79"/>
  <c r="E12" i="79"/>
  <c r="L6" i="79"/>
  <c r="C7" i="31"/>
  <c r="AK10" i="2"/>
  <c r="AJ10" i="15" s="1"/>
  <c r="AK8" i="2"/>
  <c r="AJ8" i="15" s="1"/>
  <c r="K12" i="2"/>
  <c r="C13" i="31"/>
  <c r="K17" i="2"/>
  <c r="C19" i="32" s="1"/>
  <c r="AY19" i="18"/>
  <c r="H20" i="30"/>
  <c r="AX16" i="18"/>
  <c r="C17" i="30"/>
  <c r="C26" i="2"/>
  <c r="L9" i="2"/>
  <c r="O11" i="32" s="1"/>
  <c r="K13" i="2"/>
  <c r="C15" i="32" s="1"/>
  <c r="AX13" i="18"/>
  <c r="C9" i="31"/>
  <c r="K11" i="2"/>
  <c r="L12" i="2"/>
  <c r="O14" i="32" s="1"/>
  <c r="F8" i="44"/>
  <c r="F26" i="2"/>
  <c r="K12" i="30"/>
  <c r="E24" i="46"/>
  <c r="C18" i="33"/>
  <c r="H12" i="48"/>
  <c r="L14" i="2"/>
  <c r="L10" i="2"/>
  <c r="O12" i="32" s="1"/>
  <c r="C14" i="30"/>
  <c r="C18" i="30"/>
  <c r="AX17" i="18"/>
  <c r="C12" i="44"/>
  <c r="H15" i="30"/>
  <c r="H11" i="30"/>
  <c r="K22" i="2"/>
  <c r="AX22" i="18" s="1"/>
  <c r="AY24" i="18"/>
  <c r="C24" i="33"/>
  <c r="C22" i="31"/>
  <c r="C23" i="30"/>
  <c r="E13" i="35"/>
  <c r="D13" i="35"/>
  <c r="K8" i="79"/>
  <c r="E8" i="79"/>
  <c r="C13" i="79"/>
  <c r="K7" i="79"/>
  <c r="E7" i="79"/>
  <c r="E13" i="125"/>
  <c r="J13" i="125"/>
  <c r="G13" i="125"/>
  <c r="B15" i="35" s="1"/>
  <c r="E18" i="58"/>
  <c r="P18" i="58" s="1"/>
  <c r="C11" i="29"/>
  <c r="E11" i="29" s="1"/>
  <c r="H11" i="29" s="1"/>
  <c r="E11" i="91"/>
  <c r="F11" i="44"/>
  <c r="D18" i="45"/>
  <c r="C18" i="29"/>
  <c r="E18" i="29" s="1"/>
  <c r="D11" i="45"/>
  <c r="E6" i="58"/>
  <c r="T6" i="58" s="1"/>
  <c r="C6" i="29"/>
  <c r="E6" i="29" s="1"/>
  <c r="AQ14" i="15"/>
  <c r="AQ10" i="15"/>
  <c r="AQ6" i="15"/>
  <c r="E6" i="91"/>
  <c r="D6" i="45"/>
  <c r="C16" i="29"/>
  <c r="E16" i="29" s="1"/>
  <c r="E16" i="58"/>
  <c r="O16" i="58" s="1"/>
  <c r="C22" i="29"/>
  <c r="E22" i="29" s="1"/>
  <c r="I11" i="58"/>
  <c r="Q11" i="58"/>
  <c r="T11" i="58"/>
  <c r="J11" i="58"/>
  <c r="K11" i="58"/>
  <c r="P11" i="58"/>
  <c r="R11" i="58"/>
  <c r="L11" i="58"/>
  <c r="N11" i="58"/>
  <c r="O11" i="58"/>
  <c r="O25" i="58"/>
  <c r="L25" i="58"/>
  <c r="N25" i="58"/>
  <c r="P25" i="58"/>
  <c r="Q25" i="58"/>
  <c r="T25" i="58"/>
  <c r="E23" i="58"/>
  <c r="O23" i="58" s="1"/>
  <c r="L12" i="58"/>
  <c r="F13" i="44"/>
  <c r="F19" i="44"/>
  <c r="D19" i="45"/>
  <c r="T12" i="58"/>
  <c r="E22" i="58"/>
  <c r="K12" i="58"/>
  <c r="F23" i="44"/>
  <c r="I12" i="58"/>
  <c r="E19" i="91"/>
  <c r="AQ16" i="15"/>
  <c r="C13" i="29"/>
  <c r="E13" i="29" s="1"/>
  <c r="C23" i="29"/>
  <c r="E23" i="29" s="1"/>
  <c r="H23" i="29" s="1"/>
  <c r="E23" i="91"/>
  <c r="J12" i="58"/>
  <c r="E13" i="58"/>
  <c r="N13" i="58" s="1"/>
  <c r="E22" i="91"/>
  <c r="G26" i="15"/>
  <c r="N12" i="58"/>
  <c r="Q12" i="58"/>
  <c r="I26" i="15"/>
  <c r="C19" i="29"/>
  <c r="E19" i="29" s="1"/>
  <c r="H19" i="29" s="1"/>
  <c r="J26" i="15"/>
  <c r="E13" i="91"/>
  <c r="AV28" i="43"/>
  <c r="D13" i="79"/>
  <c r="L9" i="79"/>
  <c r="L13" i="79" s="1"/>
  <c r="K13" i="79"/>
  <c r="F240" i="47" s="1"/>
  <c r="L10" i="79"/>
  <c r="K25" i="58"/>
  <c r="R25" i="58"/>
  <c r="J25" i="58"/>
  <c r="I25" i="58"/>
  <c r="Q6" i="58"/>
  <c r="I6" i="58"/>
  <c r="L6" i="58"/>
  <c r="R6" i="58"/>
  <c r="P6" i="58"/>
  <c r="J6" i="58"/>
  <c r="N14" i="58"/>
  <c r="E17" i="58"/>
  <c r="N17" i="58" s="1"/>
  <c r="I11" i="29"/>
  <c r="E21" i="91"/>
  <c r="E17" i="91"/>
  <c r="E21" i="58"/>
  <c r="T21" i="58" s="1"/>
  <c r="I7" i="29"/>
  <c r="C8" i="29"/>
  <c r="E8" i="29" s="1"/>
  <c r="I8" i="29" s="1"/>
  <c r="D22" i="45"/>
  <c r="C17" i="29"/>
  <c r="E17" i="29" s="1"/>
  <c r="G7" i="29"/>
  <c r="E8" i="58"/>
  <c r="R8" i="58" s="1"/>
  <c r="D17" i="45"/>
  <c r="E8" i="91"/>
  <c r="D8" i="45"/>
  <c r="D21" i="45"/>
  <c r="C21" i="29"/>
  <c r="E21" i="29" s="1"/>
  <c r="L16" i="30"/>
  <c r="G18" i="30"/>
  <c r="E23" i="33"/>
  <c r="E14" i="33"/>
  <c r="E21" i="31"/>
  <c r="H6" i="48"/>
  <c r="D24" i="31"/>
  <c r="D23" i="44"/>
  <c r="D6" i="31"/>
  <c r="D22" i="31"/>
  <c r="D24" i="33"/>
  <c r="D22" i="33"/>
  <c r="H24" i="48"/>
  <c r="D9" i="44"/>
  <c r="H23" i="48"/>
  <c r="D22" i="44"/>
  <c r="D6" i="44"/>
  <c r="J30" i="125"/>
  <c r="L30" i="125"/>
  <c r="G30" i="125"/>
  <c r="F13" i="125"/>
  <c r="B14" i="35" s="1"/>
  <c r="E14" i="35" s="1"/>
  <c r="I13" i="125"/>
  <c r="K30" i="125"/>
  <c r="C30" i="125"/>
  <c r="E30" i="125"/>
  <c r="I30" i="125"/>
  <c r="D30" i="125"/>
  <c r="F30" i="125"/>
  <c r="H30" i="125"/>
  <c r="E13" i="79"/>
  <c r="B16" i="35"/>
  <c r="E15" i="35"/>
  <c r="D15" i="35"/>
  <c r="K18" i="58"/>
  <c r="O13" i="58"/>
  <c r="Q13" i="58"/>
  <c r="N6" i="58"/>
  <c r="K6" i="58"/>
  <c r="I16" i="58"/>
  <c r="Q16" i="58"/>
  <c r="N23" i="58"/>
  <c r="J13" i="58"/>
  <c r="I13" i="58"/>
  <c r="L13" i="58"/>
  <c r="K13" i="58"/>
  <c r="P13" i="58"/>
  <c r="R13" i="58"/>
  <c r="T13" i="58"/>
  <c r="K23" i="58"/>
  <c r="I23" i="58"/>
  <c r="J23" i="58"/>
  <c r="L23" i="58"/>
  <c r="P23" i="58"/>
  <c r="Q23" i="58"/>
  <c r="R23" i="58"/>
  <c r="T23" i="58"/>
  <c r="T22" i="58"/>
  <c r="K22" i="58"/>
  <c r="L8" i="58"/>
  <c r="I8" i="58"/>
  <c r="Q21" i="58"/>
  <c r="D14" i="35"/>
  <c r="D5" i="35"/>
  <c r="S28" i="43" l="1"/>
  <c r="G10" i="126"/>
  <c r="S9" i="126"/>
  <c r="H10" i="126"/>
  <c r="T9" i="126"/>
  <c r="I10" i="126"/>
  <c r="J10" i="126"/>
  <c r="S7" i="126"/>
  <c r="C10" i="126"/>
  <c r="K10" i="126"/>
  <c r="D10" i="126"/>
  <c r="T7" i="126"/>
  <c r="L10" i="126"/>
  <c r="E10" i="126"/>
  <c r="S8" i="126"/>
  <c r="F10" i="126"/>
  <c r="T8" i="126"/>
  <c r="AU8" i="126"/>
  <c r="G8" i="31"/>
  <c r="G9" i="31"/>
  <c r="F25" i="48"/>
  <c r="F8" i="48"/>
  <c r="F7" i="48"/>
  <c r="G11" i="48"/>
  <c r="G24" i="31"/>
  <c r="F24" i="48"/>
  <c r="G13" i="48"/>
  <c r="E11" i="44"/>
  <c r="E21" i="44"/>
  <c r="F17" i="48"/>
  <c r="G19" i="48"/>
  <c r="E20" i="44"/>
  <c r="F16" i="48"/>
  <c r="G20" i="48"/>
  <c r="E12" i="44"/>
  <c r="G16" i="31"/>
  <c r="F22" i="31"/>
  <c r="E19" i="44"/>
  <c r="F15" i="48"/>
  <c r="G21" i="48"/>
  <c r="F15" i="31"/>
  <c r="E13" i="44"/>
  <c r="F9" i="48"/>
  <c r="F32" i="78"/>
  <c r="C241" i="47" s="1"/>
  <c r="Q18" i="58"/>
  <c r="K14" i="58"/>
  <c r="J18" i="58"/>
  <c r="O6" i="58"/>
  <c r="T18" i="58"/>
  <c r="R18" i="58"/>
  <c r="R17" i="58"/>
  <c r="L18" i="58"/>
  <c r="O18" i="58"/>
  <c r="N18" i="58"/>
  <c r="O12" i="58"/>
  <c r="G23" i="29"/>
  <c r="S11" i="58"/>
  <c r="I23" i="29"/>
  <c r="T16" i="58"/>
  <c r="L14" i="58"/>
  <c r="K16" i="58"/>
  <c r="N10" i="58"/>
  <c r="O9" i="58"/>
  <c r="L10" i="58"/>
  <c r="G19" i="29"/>
  <c r="R10" i="58"/>
  <c r="J21" i="58"/>
  <c r="L16" i="58"/>
  <c r="J9" i="58"/>
  <c r="I18" i="58"/>
  <c r="G25" i="31"/>
  <c r="H6" i="33"/>
  <c r="I6" i="33" s="1"/>
  <c r="F14" i="31"/>
  <c r="E6" i="44"/>
  <c r="E18" i="44"/>
  <c r="E10" i="44"/>
  <c r="F22" i="48"/>
  <c r="F14" i="48"/>
  <c r="G6" i="48"/>
  <c r="G14" i="48"/>
  <c r="G22" i="48"/>
  <c r="H14" i="33"/>
  <c r="G12" i="31"/>
  <c r="E25" i="44"/>
  <c r="E17" i="44"/>
  <c r="E9" i="44"/>
  <c r="F21" i="48"/>
  <c r="F13" i="48"/>
  <c r="G7" i="48"/>
  <c r="G15" i="48"/>
  <c r="G23" i="48"/>
  <c r="H7" i="33"/>
  <c r="G13" i="31"/>
  <c r="G21" i="31"/>
  <c r="E24" i="44"/>
  <c r="E16" i="44"/>
  <c r="E8" i="44"/>
  <c r="F20" i="48"/>
  <c r="F12" i="48"/>
  <c r="G8" i="48"/>
  <c r="G16" i="48"/>
  <c r="G24" i="48"/>
  <c r="G10" i="31"/>
  <c r="F23" i="48"/>
  <c r="G6" i="31"/>
  <c r="G14" i="31"/>
  <c r="H14" i="31" s="1"/>
  <c r="G22" i="31"/>
  <c r="H22" i="31" s="1"/>
  <c r="E23" i="44"/>
  <c r="E15" i="44"/>
  <c r="E7" i="44"/>
  <c r="F19" i="48"/>
  <c r="F11" i="48"/>
  <c r="G9" i="48"/>
  <c r="G17" i="48"/>
  <c r="G25" i="48"/>
  <c r="G17" i="31"/>
  <c r="G18" i="31"/>
  <c r="G7" i="31"/>
  <c r="H7" i="31" s="1"/>
  <c r="G15" i="31"/>
  <c r="G23" i="31"/>
  <c r="E22" i="44"/>
  <c r="F6" i="48"/>
  <c r="F18" i="48"/>
  <c r="F10" i="48"/>
  <c r="F26" i="14"/>
  <c r="D26" i="14"/>
  <c r="V9" i="14"/>
  <c r="C9" i="64" s="1"/>
  <c r="E9" i="64" s="1"/>
  <c r="AT26" i="14"/>
  <c r="E26" i="14"/>
  <c r="T26" i="14"/>
  <c r="V10" i="14"/>
  <c r="C10" i="45" s="1"/>
  <c r="E10" i="45" s="1"/>
  <c r="I14" i="29"/>
  <c r="H14" i="29"/>
  <c r="G16" i="29"/>
  <c r="H16" i="29"/>
  <c r="I16" i="29"/>
  <c r="I17" i="29"/>
  <c r="G17" i="29"/>
  <c r="H17" i="29"/>
  <c r="G11" i="29"/>
  <c r="F16" i="31"/>
  <c r="H13" i="33"/>
  <c r="F8" i="31"/>
  <c r="H8" i="31" s="1"/>
  <c r="H23" i="33"/>
  <c r="F10" i="33"/>
  <c r="F11" i="33"/>
  <c r="F24" i="31"/>
  <c r="H24" i="31" s="1"/>
  <c r="H21" i="33"/>
  <c r="F18" i="33"/>
  <c r="G18" i="33" s="1"/>
  <c r="F19" i="33"/>
  <c r="G19" i="33" s="1"/>
  <c r="F20" i="33"/>
  <c r="G20" i="33" s="1"/>
  <c r="H20" i="33"/>
  <c r="H12" i="33"/>
  <c r="H19" i="33"/>
  <c r="H11" i="33"/>
  <c r="H18" i="33"/>
  <c r="H10" i="33"/>
  <c r="F12" i="33"/>
  <c r="G12" i="33" s="1"/>
  <c r="H25" i="33"/>
  <c r="H17" i="33"/>
  <c r="H9" i="33"/>
  <c r="H28" i="32"/>
  <c r="E28" i="32"/>
  <c r="S28" i="32"/>
  <c r="Q28" i="32"/>
  <c r="J28" i="32"/>
  <c r="P28" i="32"/>
  <c r="U28" i="32"/>
  <c r="F28" i="32"/>
  <c r="M18" i="32"/>
  <c r="X28" i="32"/>
  <c r="M13" i="58"/>
  <c r="M12" i="58"/>
  <c r="M11" i="58"/>
  <c r="M25" i="58"/>
  <c r="C9" i="45"/>
  <c r="S26" i="14"/>
  <c r="M26" i="14"/>
  <c r="V12" i="14"/>
  <c r="V17" i="14"/>
  <c r="V8" i="14"/>
  <c r="S13" i="58"/>
  <c r="G9" i="64"/>
  <c r="I26" i="14"/>
  <c r="V16" i="14"/>
  <c r="V14" i="14"/>
  <c r="V15" i="14"/>
  <c r="L26" i="14"/>
  <c r="V25" i="14"/>
  <c r="S18" i="58"/>
  <c r="V24" i="14"/>
  <c r="V23" i="14"/>
  <c r="V22" i="14"/>
  <c r="V21" i="14"/>
  <c r="C21" i="64" s="1"/>
  <c r="S6" i="58"/>
  <c r="Q19" i="58"/>
  <c r="K19" i="58"/>
  <c r="T19" i="58"/>
  <c r="I19" i="58"/>
  <c r="P19" i="58"/>
  <c r="L19" i="58"/>
  <c r="R19" i="58"/>
  <c r="J19" i="58"/>
  <c r="N19" i="58"/>
  <c r="O19" i="58"/>
  <c r="L17" i="58"/>
  <c r="I21" i="58"/>
  <c r="I17" i="58"/>
  <c r="J17" i="58"/>
  <c r="G14" i="29"/>
  <c r="R9" i="58"/>
  <c r="C24" i="29"/>
  <c r="E24" i="29" s="1"/>
  <c r="G24" i="29" s="1"/>
  <c r="Q10" i="58"/>
  <c r="T10" i="58"/>
  <c r="F10" i="44"/>
  <c r="K6" i="15"/>
  <c r="R21" i="58"/>
  <c r="P17" i="58"/>
  <c r="P9" i="58"/>
  <c r="D10" i="45"/>
  <c r="E10" i="91"/>
  <c r="I10" i="58"/>
  <c r="E20" i="58"/>
  <c r="C9" i="29"/>
  <c r="E9" i="29" s="1"/>
  <c r="N21" i="58"/>
  <c r="Q17" i="58"/>
  <c r="Q8" i="58"/>
  <c r="M23" i="58"/>
  <c r="T9" i="58"/>
  <c r="D15" i="45"/>
  <c r="L9" i="58"/>
  <c r="O10" i="58"/>
  <c r="E20" i="91"/>
  <c r="D9" i="45"/>
  <c r="D24" i="45"/>
  <c r="K17" i="58"/>
  <c r="J10" i="58"/>
  <c r="C10" i="29"/>
  <c r="E10" i="29" s="1"/>
  <c r="G10" i="29" s="1"/>
  <c r="P7" i="58"/>
  <c r="T17" i="58"/>
  <c r="L21" i="58"/>
  <c r="O21" i="58"/>
  <c r="O17" i="58"/>
  <c r="Q9" i="58"/>
  <c r="F24" i="44"/>
  <c r="P10" i="58"/>
  <c r="N9" i="58"/>
  <c r="C15" i="29"/>
  <c r="E15" i="29" s="1"/>
  <c r="E9" i="91"/>
  <c r="P21" i="58"/>
  <c r="S23" i="58"/>
  <c r="K21" i="58"/>
  <c r="K9" i="58"/>
  <c r="S25" i="58"/>
  <c r="C26" i="15"/>
  <c r="E24" i="58"/>
  <c r="E15" i="58"/>
  <c r="P15" i="58" s="1"/>
  <c r="F9" i="44"/>
  <c r="E15" i="91"/>
  <c r="AQ12" i="15"/>
  <c r="H28" i="43"/>
  <c r="U28" i="43"/>
  <c r="M28" i="43"/>
  <c r="P28" i="43"/>
  <c r="I28" i="43"/>
  <c r="N28" i="43"/>
  <c r="F28" i="43"/>
  <c r="C20" i="77" s="1"/>
  <c r="D20" i="77" s="1"/>
  <c r="F243" i="47" s="1"/>
  <c r="Q28" i="43"/>
  <c r="K28" i="43"/>
  <c r="O28" i="43"/>
  <c r="G28" i="43"/>
  <c r="AV26" i="18"/>
  <c r="O26" i="4"/>
  <c r="E27" i="30"/>
  <c r="G14" i="30"/>
  <c r="G23" i="30"/>
  <c r="J10" i="30"/>
  <c r="J27" i="30" s="1"/>
  <c r="AA26" i="5"/>
  <c r="C232" i="47" s="1"/>
  <c r="G17" i="30"/>
  <c r="C231" i="47"/>
  <c r="D7" i="30"/>
  <c r="D27" i="30" s="1"/>
  <c r="L11" i="30"/>
  <c r="X26" i="6"/>
  <c r="G17" i="33"/>
  <c r="E16" i="33"/>
  <c r="E7" i="33"/>
  <c r="G7" i="33" s="1"/>
  <c r="E25" i="33"/>
  <c r="E19" i="31"/>
  <c r="H19" i="31" s="1"/>
  <c r="E18" i="31"/>
  <c r="E11" i="31"/>
  <c r="E13" i="33"/>
  <c r="U27" i="7"/>
  <c r="C230" i="47" s="1"/>
  <c r="E10" i="31"/>
  <c r="D25" i="44"/>
  <c r="U27" i="8"/>
  <c r="D12" i="44"/>
  <c r="H17" i="48"/>
  <c r="D8" i="31"/>
  <c r="D9" i="33"/>
  <c r="H8" i="48"/>
  <c r="D17" i="31"/>
  <c r="D13" i="31"/>
  <c r="H13" i="48"/>
  <c r="H9" i="48"/>
  <c r="D12" i="33"/>
  <c r="H16" i="48"/>
  <c r="D20" i="44"/>
  <c r="H21" i="48"/>
  <c r="D16" i="44"/>
  <c r="H25" i="48"/>
  <c r="D20" i="31"/>
  <c r="D25" i="31"/>
  <c r="H11" i="48"/>
  <c r="D21" i="31"/>
  <c r="D23" i="33"/>
  <c r="I28" i="32"/>
  <c r="G28" i="32"/>
  <c r="C227" i="47"/>
  <c r="D6" i="35"/>
  <c r="F231" i="47" s="1"/>
  <c r="E5" i="35"/>
  <c r="H9" i="31"/>
  <c r="H11" i="31"/>
  <c r="G25" i="33"/>
  <c r="G15" i="33"/>
  <c r="I15" i="33" s="1"/>
  <c r="W35" i="127"/>
  <c r="C20" i="32"/>
  <c r="K20" i="32" s="1"/>
  <c r="N20" i="32" s="1"/>
  <c r="D18" i="58"/>
  <c r="I18" i="31"/>
  <c r="C19" i="30"/>
  <c r="G19" i="30" s="1"/>
  <c r="D16" i="48"/>
  <c r="I16" i="31"/>
  <c r="AY16" i="18"/>
  <c r="AW16" i="18" s="1"/>
  <c r="H18" i="30"/>
  <c r="L18" i="30" s="1"/>
  <c r="D17" i="48"/>
  <c r="D17" i="58"/>
  <c r="C17" i="44"/>
  <c r="AY17" i="18"/>
  <c r="I17" i="31"/>
  <c r="M17" i="2"/>
  <c r="Y17" i="6" s="1"/>
  <c r="AY6" i="18"/>
  <c r="O8" i="32"/>
  <c r="W8" i="32" s="1"/>
  <c r="Z8" i="32" s="1"/>
  <c r="H7" i="30"/>
  <c r="L7" i="30" s="1"/>
  <c r="I6" i="31"/>
  <c r="C6" i="44"/>
  <c r="C7" i="30"/>
  <c r="M6" i="2"/>
  <c r="D6" i="48"/>
  <c r="C6" i="58"/>
  <c r="D6" i="58"/>
  <c r="O15" i="32"/>
  <c r="Y15" i="32" s="1"/>
  <c r="C13" i="44"/>
  <c r="AY13" i="18"/>
  <c r="AW13" i="18" s="1"/>
  <c r="D13" i="58"/>
  <c r="C13" i="58"/>
  <c r="M13" i="2"/>
  <c r="D13" i="48"/>
  <c r="I13" i="31"/>
  <c r="H8" i="30"/>
  <c r="O9" i="32"/>
  <c r="Y9" i="32" s="1"/>
  <c r="AY7" i="18"/>
  <c r="AW17" i="18"/>
  <c r="H9" i="30"/>
  <c r="L9" i="30" s="1"/>
  <c r="AY8" i="18"/>
  <c r="C11" i="32"/>
  <c r="C9" i="44"/>
  <c r="C10" i="30"/>
  <c r="G10" i="30" s="1"/>
  <c r="AX9" i="18"/>
  <c r="C7" i="58"/>
  <c r="D7" i="58"/>
  <c r="I7" i="31"/>
  <c r="M7" i="2"/>
  <c r="C9" i="32"/>
  <c r="M9" i="32" s="1"/>
  <c r="D7" i="48"/>
  <c r="C8" i="30"/>
  <c r="G8" i="30" s="1"/>
  <c r="C7" i="44"/>
  <c r="AX7" i="18"/>
  <c r="AW7" i="18" s="1"/>
  <c r="C12" i="32"/>
  <c r="K12" i="32" s="1"/>
  <c r="N12" i="32" s="1"/>
  <c r="C11" i="30"/>
  <c r="G11" i="30" s="1"/>
  <c r="AX10" i="18"/>
  <c r="AW10" i="18" s="1"/>
  <c r="I10" i="31"/>
  <c r="D10" i="48"/>
  <c r="C10" i="58"/>
  <c r="C21" i="30"/>
  <c r="G21" i="30" s="1"/>
  <c r="AX20" i="18"/>
  <c r="C12" i="31"/>
  <c r="AI26" i="2"/>
  <c r="A1" i="7"/>
  <c r="C8" i="33"/>
  <c r="A1" i="79"/>
  <c r="A1" i="45"/>
  <c r="A1" i="43"/>
  <c r="A1" i="46"/>
  <c r="C23" i="33"/>
  <c r="G23" i="33" s="1"/>
  <c r="D14" i="48"/>
  <c r="D12" i="58"/>
  <c r="D26" i="2"/>
  <c r="A1" i="33"/>
  <c r="A1" i="5"/>
  <c r="A1" i="35"/>
  <c r="K14" i="2"/>
  <c r="AK11" i="2"/>
  <c r="AJ11" i="15" s="1"/>
  <c r="AK25" i="2"/>
  <c r="AJ25" i="15" s="1"/>
  <c r="C25" i="33"/>
  <c r="AY14" i="18"/>
  <c r="H10" i="30"/>
  <c r="C10" i="33"/>
  <c r="C15" i="31"/>
  <c r="A1" i="32"/>
  <c r="A1" i="6"/>
  <c r="A1" i="31"/>
  <c r="L15" i="30"/>
  <c r="C20" i="31"/>
  <c r="L23" i="2"/>
  <c r="C22" i="33"/>
  <c r="G22" i="33" s="1"/>
  <c r="I22" i="33" s="1"/>
  <c r="A1" i="126"/>
  <c r="L21" i="2"/>
  <c r="AY9" i="18"/>
  <c r="AW9" i="18" s="1"/>
  <c r="H26" i="2"/>
  <c r="A1" i="30"/>
  <c r="A1" i="8"/>
  <c r="A1" i="23"/>
  <c r="L11" i="2"/>
  <c r="D11" i="58" s="1"/>
  <c r="K25" i="2"/>
  <c r="K24" i="2"/>
  <c r="K23" i="2"/>
  <c r="AY10" i="18"/>
  <c r="C12" i="58"/>
  <c r="C11" i="33"/>
  <c r="A1" i="77"/>
  <c r="A1" i="58"/>
  <c r="A1" i="20"/>
  <c r="C1" i="18"/>
  <c r="AA1" i="18" s="1"/>
  <c r="K19" i="2"/>
  <c r="C21" i="33"/>
  <c r="G21" i="33" s="1"/>
  <c r="I12" i="31"/>
  <c r="H13" i="30"/>
  <c r="L13" i="30" s="1"/>
  <c r="AY12" i="18"/>
  <c r="A1" i="64"/>
  <c r="A1" i="14"/>
  <c r="B1" i="53"/>
  <c r="L18" i="2"/>
  <c r="D18" i="48" s="1"/>
  <c r="F230" i="47"/>
  <c r="Y8" i="32"/>
  <c r="G12" i="29"/>
  <c r="H12" i="29"/>
  <c r="E26" i="2"/>
  <c r="C28" i="43"/>
  <c r="D28" i="43"/>
  <c r="L28" i="43"/>
  <c r="V28" i="43"/>
  <c r="C14" i="77"/>
  <c r="D14" i="77" s="1"/>
  <c r="J28" i="43"/>
  <c r="C13" i="77" s="1"/>
  <c r="D13" i="77" s="1"/>
  <c r="F242" i="47" s="1"/>
  <c r="R28" i="43"/>
  <c r="K27" i="30"/>
  <c r="L8" i="30"/>
  <c r="L10" i="32"/>
  <c r="AU26" i="18"/>
  <c r="C234" i="47" s="1"/>
  <c r="T28" i="32"/>
  <c r="M6" i="58"/>
  <c r="O15" i="58"/>
  <c r="H21" i="31"/>
  <c r="C10" i="64"/>
  <c r="I24" i="29"/>
  <c r="G18" i="29"/>
  <c r="H18" i="29"/>
  <c r="I18" i="29"/>
  <c r="G20" i="29"/>
  <c r="H20" i="29"/>
  <c r="I20" i="29"/>
  <c r="I22" i="29"/>
  <c r="G22" i="29"/>
  <c r="H22" i="29"/>
  <c r="F241" i="47"/>
  <c r="G21" i="29"/>
  <c r="H21" i="29"/>
  <c r="I21" i="29"/>
  <c r="I15" i="58"/>
  <c r="K9" i="32"/>
  <c r="N9" i="32" s="1"/>
  <c r="Q22" i="58"/>
  <c r="P22" i="58"/>
  <c r="I22" i="58"/>
  <c r="N22" i="58"/>
  <c r="O22" i="58"/>
  <c r="R22" i="58"/>
  <c r="L22" i="58"/>
  <c r="J22" i="58"/>
  <c r="H6" i="29"/>
  <c r="I6" i="29"/>
  <c r="G6" i="29"/>
  <c r="E16" i="35"/>
  <c r="D16" i="35"/>
  <c r="H13" i="29"/>
  <c r="G13" i="29"/>
  <c r="I13" i="29"/>
  <c r="K8" i="58"/>
  <c r="N16" i="58"/>
  <c r="G25" i="29"/>
  <c r="H25" i="29"/>
  <c r="T19" i="53"/>
  <c r="C226" i="47" s="1"/>
  <c r="T8" i="58"/>
  <c r="J8" i="58"/>
  <c r="P16" i="58"/>
  <c r="O18" i="32"/>
  <c r="M16" i="2"/>
  <c r="C16" i="58"/>
  <c r="H17" i="30"/>
  <c r="L17" i="30" s="1"/>
  <c r="C16" i="44"/>
  <c r="D16" i="58"/>
  <c r="G8" i="29"/>
  <c r="O8" i="58"/>
  <c r="J16" i="58"/>
  <c r="R16" i="58"/>
  <c r="C13" i="32"/>
  <c r="AX11" i="18"/>
  <c r="M11" i="2"/>
  <c r="C11" i="58"/>
  <c r="C12" i="30"/>
  <c r="G12" i="30" s="1"/>
  <c r="I11" i="31"/>
  <c r="D11" i="48"/>
  <c r="C11" i="44"/>
  <c r="C17" i="32"/>
  <c r="I15" i="31"/>
  <c r="C15" i="58"/>
  <c r="D15" i="58"/>
  <c r="C16" i="30"/>
  <c r="G16" i="30" s="1"/>
  <c r="M15" i="2"/>
  <c r="C15" i="44"/>
  <c r="AX15" i="18"/>
  <c r="D15" i="48"/>
  <c r="Q7" i="58"/>
  <c r="L7" i="58"/>
  <c r="I7" i="58"/>
  <c r="K7" i="58"/>
  <c r="T7" i="58"/>
  <c r="R7" i="58"/>
  <c r="O7" i="58"/>
  <c r="N7" i="58"/>
  <c r="H8" i="29"/>
  <c r="P8" i="58"/>
  <c r="I19" i="29"/>
  <c r="Q17" i="20"/>
  <c r="Q17" i="4"/>
  <c r="L17" i="15"/>
  <c r="Y19" i="43"/>
  <c r="W18" i="7"/>
  <c r="AC17" i="5"/>
  <c r="W17" i="14"/>
  <c r="AZ17" i="18"/>
  <c r="C31" i="46"/>
  <c r="N8" i="58"/>
  <c r="K8" i="15"/>
  <c r="D8" i="29"/>
  <c r="K13" i="15"/>
  <c r="D13" i="29"/>
  <c r="G26" i="14"/>
  <c r="AK13" i="2"/>
  <c r="AJ13" i="15" s="1"/>
  <c r="AJ26" i="2"/>
  <c r="Q7" i="4"/>
  <c r="AZ6" i="18"/>
  <c r="Y6" i="6"/>
  <c r="Y7" i="6"/>
  <c r="I9" i="31"/>
  <c r="C10" i="44"/>
  <c r="Q6" i="20"/>
  <c r="K15" i="32"/>
  <c r="N15" i="32" s="1"/>
  <c r="M15" i="32"/>
  <c r="C22" i="32"/>
  <c r="K11" i="32"/>
  <c r="M11" i="32"/>
  <c r="C14" i="32"/>
  <c r="M12" i="2"/>
  <c r="V18" i="14"/>
  <c r="E18" i="91"/>
  <c r="F18" i="44"/>
  <c r="C23" i="58"/>
  <c r="D23" i="58"/>
  <c r="C25" i="32"/>
  <c r="L6" i="15"/>
  <c r="D9" i="58"/>
  <c r="P12" i="58"/>
  <c r="S12" i="58" s="1"/>
  <c r="Y21" i="32"/>
  <c r="W21" i="32"/>
  <c r="Z21" i="32" s="1"/>
  <c r="K26" i="14"/>
  <c r="F229" i="47"/>
  <c r="W6" i="14"/>
  <c r="M9" i="2"/>
  <c r="C13" i="30"/>
  <c r="G13" i="30" s="1"/>
  <c r="Y12" i="32"/>
  <c r="W12" i="32"/>
  <c r="Z12" i="32" s="1"/>
  <c r="P26" i="4"/>
  <c r="L11" i="32"/>
  <c r="Q26" i="14"/>
  <c r="I23" i="31"/>
  <c r="C24" i="32"/>
  <c r="AC6" i="5"/>
  <c r="Q6" i="4"/>
  <c r="C9" i="58"/>
  <c r="M10" i="2"/>
  <c r="C8" i="32"/>
  <c r="W14" i="7"/>
  <c r="Y13" i="6"/>
  <c r="J26" i="2"/>
  <c r="L25" i="2"/>
  <c r="D25" i="58" s="1"/>
  <c r="O10" i="32"/>
  <c r="D9" i="48"/>
  <c r="D10" i="58"/>
  <c r="AX6" i="18"/>
  <c r="AX12" i="18"/>
  <c r="AW12" i="18" s="1"/>
  <c r="O16" i="32"/>
  <c r="D14" i="58"/>
  <c r="D12" i="48"/>
  <c r="O19" i="32"/>
  <c r="C17" i="58"/>
  <c r="C6" i="31"/>
  <c r="C6" i="33"/>
  <c r="C21" i="32"/>
  <c r="AX19" i="18"/>
  <c r="AW19" i="18" s="1"/>
  <c r="D19" i="58"/>
  <c r="M19" i="2"/>
  <c r="C19" i="44"/>
  <c r="G19" i="44" s="1"/>
  <c r="V11" i="14"/>
  <c r="V27" i="8"/>
  <c r="C229" i="47" s="1"/>
  <c r="D10" i="33"/>
  <c r="D10" i="31"/>
  <c r="V20" i="14"/>
  <c r="K21" i="2"/>
  <c r="K22" i="15"/>
  <c r="D22" i="29"/>
  <c r="H22" i="30"/>
  <c r="L22" i="30" s="1"/>
  <c r="T28" i="43"/>
  <c r="Y11" i="32"/>
  <c r="W11" i="32"/>
  <c r="Z11" i="32" s="1"/>
  <c r="I14" i="58"/>
  <c r="K18" i="32"/>
  <c r="N18" i="32" s="1"/>
  <c r="Y17" i="32"/>
  <c r="W17" i="32"/>
  <c r="Z17" i="32" s="1"/>
  <c r="K19" i="15"/>
  <c r="D19" i="29"/>
  <c r="U26" i="14"/>
  <c r="N26" i="14"/>
  <c r="AQ22" i="15"/>
  <c r="AL5" i="15" s="1"/>
  <c r="F247" i="47" s="1"/>
  <c r="F227" i="47"/>
  <c r="E6" i="79"/>
  <c r="M20" i="32"/>
  <c r="AX18" i="18"/>
  <c r="Y14" i="32"/>
  <c r="W14" i="32"/>
  <c r="Z14" i="32" s="1"/>
  <c r="K19" i="32"/>
  <c r="N19" i="32" s="1"/>
  <c r="M19" i="32"/>
  <c r="P14" i="58"/>
  <c r="AY15" i="18"/>
  <c r="R14" i="58"/>
  <c r="H14" i="30"/>
  <c r="L14" i="30" s="1"/>
  <c r="O26" i="14"/>
  <c r="V7" i="14"/>
  <c r="E24" i="33"/>
  <c r="H24" i="30"/>
  <c r="L24" i="30" s="1"/>
  <c r="K8" i="2"/>
  <c r="C14" i="33"/>
  <c r="G14" i="33" s="1"/>
  <c r="K12" i="15"/>
  <c r="K14" i="15"/>
  <c r="D14" i="29"/>
  <c r="K20" i="15"/>
  <c r="D20" i="29"/>
  <c r="C26" i="14"/>
  <c r="V19" i="14"/>
  <c r="J26" i="14"/>
  <c r="D16" i="31"/>
  <c r="H16" i="31" s="1"/>
  <c r="O26" i="32"/>
  <c r="H25" i="30"/>
  <c r="L25" i="30" s="1"/>
  <c r="L22" i="2"/>
  <c r="D21" i="29"/>
  <c r="K21" i="15"/>
  <c r="G26" i="2"/>
  <c r="V6" i="14"/>
  <c r="V13" i="14"/>
  <c r="H26" i="14"/>
  <c r="C16" i="32"/>
  <c r="C15" i="30"/>
  <c r="G15" i="30" s="1"/>
  <c r="L20" i="2"/>
  <c r="R26" i="14"/>
  <c r="C233" i="47"/>
  <c r="D13" i="33"/>
  <c r="G13" i="33" s="1"/>
  <c r="C27" i="32"/>
  <c r="C26" i="32"/>
  <c r="D24" i="58"/>
  <c r="K11" i="15"/>
  <c r="K16" i="15"/>
  <c r="K25" i="15"/>
  <c r="C23" i="31"/>
  <c r="F246" i="47"/>
  <c r="K7" i="15"/>
  <c r="K26" i="15" s="1"/>
  <c r="K9" i="15"/>
  <c r="K10" i="15"/>
  <c r="K15" i="15"/>
  <c r="F7" i="30"/>
  <c r="D6" i="33"/>
  <c r="K23" i="15"/>
  <c r="D21" i="44"/>
  <c r="F226" i="47"/>
  <c r="AU28" i="43"/>
  <c r="K17" i="15"/>
  <c r="C25" i="31"/>
  <c r="K24" i="15"/>
  <c r="A1" i="124"/>
  <c r="A1" i="125"/>
  <c r="C22" i="91" l="1"/>
  <c r="D22" i="91" s="1"/>
  <c r="H22" i="91" s="1"/>
  <c r="I22" i="91" s="1"/>
  <c r="T10" i="126"/>
  <c r="S10" i="126"/>
  <c r="G13" i="44"/>
  <c r="G11" i="33"/>
  <c r="I11" i="33" s="1"/>
  <c r="I13" i="33"/>
  <c r="I14" i="33"/>
  <c r="H23" i="31"/>
  <c r="J23" i="31" s="1"/>
  <c r="G6" i="44"/>
  <c r="G16" i="44"/>
  <c r="M18" i="58"/>
  <c r="E9" i="45"/>
  <c r="S10" i="58"/>
  <c r="M16" i="58"/>
  <c r="M10" i="58"/>
  <c r="M9" i="58"/>
  <c r="M14" i="58"/>
  <c r="M8" i="58"/>
  <c r="H18" i="31"/>
  <c r="J18" i="31" s="1"/>
  <c r="I19" i="33"/>
  <c r="I21" i="33"/>
  <c r="G10" i="44"/>
  <c r="I7" i="33"/>
  <c r="G7" i="44"/>
  <c r="I17" i="33"/>
  <c r="C21" i="45"/>
  <c r="E21" i="45" s="1"/>
  <c r="G9" i="44"/>
  <c r="I12" i="33"/>
  <c r="I18" i="33"/>
  <c r="J7" i="31"/>
  <c r="I20" i="33"/>
  <c r="G9" i="33"/>
  <c r="I9" i="33" s="1"/>
  <c r="G8" i="33"/>
  <c r="I8" i="33" s="1"/>
  <c r="M12" i="32"/>
  <c r="L10" i="30"/>
  <c r="H20" i="31"/>
  <c r="J20" i="31" s="1"/>
  <c r="H25" i="31"/>
  <c r="J25" i="31" s="1"/>
  <c r="H15" i="31"/>
  <c r="J15" i="31" s="1"/>
  <c r="J16" i="31"/>
  <c r="H12" i="31"/>
  <c r="J12" i="31" s="1"/>
  <c r="J15" i="58"/>
  <c r="S8" i="58"/>
  <c r="Q15" i="58"/>
  <c r="M21" i="58"/>
  <c r="M7" i="58"/>
  <c r="C17" i="64"/>
  <c r="C17" i="45"/>
  <c r="E17" i="45" s="1"/>
  <c r="C25" i="64"/>
  <c r="C25" i="45"/>
  <c r="E25" i="45" s="1"/>
  <c r="C15" i="45"/>
  <c r="E15" i="45" s="1"/>
  <c r="C15" i="64"/>
  <c r="C12" i="45"/>
  <c r="E12" i="45" s="1"/>
  <c r="C12" i="64"/>
  <c r="C14" i="64"/>
  <c r="C14" i="45"/>
  <c r="E14" i="45" s="1"/>
  <c r="C22" i="45"/>
  <c r="E22" i="45" s="1"/>
  <c r="C22" i="64"/>
  <c r="C16" i="45"/>
  <c r="E16" i="45" s="1"/>
  <c r="C16" i="64"/>
  <c r="C23" i="45"/>
  <c r="E23" i="45" s="1"/>
  <c r="C23" i="64"/>
  <c r="C24" i="45"/>
  <c r="E24" i="45" s="1"/>
  <c r="C24" i="64"/>
  <c r="C8" i="64"/>
  <c r="C8" i="45"/>
  <c r="E8" i="45" s="1"/>
  <c r="I9" i="64"/>
  <c r="H9" i="64"/>
  <c r="F9" i="64"/>
  <c r="K15" i="58"/>
  <c r="O24" i="58"/>
  <c r="P24" i="58"/>
  <c r="K24" i="58"/>
  <c r="N24" i="58"/>
  <c r="Q24" i="58"/>
  <c r="I24" i="58"/>
  <c r="L24" i="58"/>
  <c r="T24" i="58"/>
  <c r="R24" i="58"/>
  <c r="J24" i="58"/>
  <c r="S19" i="58"/>
  <c r="L15" i="58"/>
  <c r="H10" i="29"/>
  <c r="I10" i="29"/>
  <c r="M19" i="58"/>
  <c r="S17" i="58"/>
  <c r="S14" i="58"/>
  <c r="N15" i="58"/>
  <c r="G15" i="29"/>
  <c r="I15" i="29"/>
  <c r="H15" i="29"/>
  <c r="S9" i="58"/>
  <c r="H9" i="29"/>
  <c r="G9" i="29"/>
  <c r="I9" i="29"/>
  <c r="H24" i="29"/>
  <c r="I20" i="58"/>
  <c r="J20" i="58"/>
  <c r="L20" i="58"/>
  <c r="P20" i="58"/>
  <c r="Q20" i="58"/>
  <c r="T20" i="58"/>
  <c r="N20" i="58"/>
  <c r="K20" i="58"/>
  <c r="O20" i="58"/>
  <c r="R20" i="58"/>
  <c r="M17" i="58"/>
  <c r="T15" i="58"/>
  <c r="S21" i="58"/>
  <c r="S16" i="58"/>
  <c r="R15" i="58"/>
  <c r="S7" i="58"/>
  <c r="L28" i="32"/>
  <c r="E26" i="33"/>
  <c r="G16" i="33"/>
  <c r="I16" i="33" s="1"/>
  <c r="H13" i="31"/>
  <c r="J13" i="31" s="1"/>
  <c r="G12" i="44"/>
  <c r="I23" i="33"/>
  <c r="G15" i="44"/>
  <c r="J11" i="31"/>
  <c r="G26" i="31"/>
  <c r="J9" i="31"/>
  <c r="F26" i="33"/>
  <c r="F11" i="58"/>
  <c r="H11" i="58"/>
  <c r="G11" i="58"/>
  <c r="L26" i="2"/>
  <c r="G12" i="58"/>
  <c r="F12" i="58"/>
  <c r="H12" i="58"/>
  <c r="H17" i="58"/>
  <c r="G17" i="58"/>
  <c r="F17" i="58"/>
  <c r="C20" i="30"/>
  <c r="G20" i="30" s="1"/>
  <c r="C19" i="58"/>
  <c r="I19" i="31"/>
  <c r="J19" i="31" s="1"/>
  <c r="D19" i="48"/>
  <c r="O25" i="32"/>
  <c r="AY23" i="18"/>
  <c r="H6" i="58"/>
  <c r="G6" i="58"/>
  <c r="F6" i="58"/>
  <c r="C18" i="44"/>
  <c r="G18" i="44" s="1"/>
  <c r="W9" i="32"/>
  <c r="Z9" i="32" s="1"/>
  <c r="D23" i="48"/>
  <c r="M23" i="2"/>
  <c r="C23" i="44"/>
  <c r="G23" i="44" s="1"/>
  <c r="AX23" i="18"/>
  <c r="C24" i="30"/>
  <c r="G24" i="30" s="1"/>
  <c r="AX14" i="18"/>
  <c r="AW14" i="18" s="1"/>
  <c r="C14" i="58"/>
  <c r="I14" i="31"/>
  <c r="J14" i="31" s="1"/>
  <c r="M14" i="2"/>
  <c r="C14" i="44"/>
  <c r="G14" i="44" s="1"/>
  <c r="C18" i="58"/>
  <c r="G18" i="58"/>
  <c r="H18" i="58"/>
  <c r="W15" i="32"/>
  <c r="Z15" i="32" s="1"/>
  <c r="G17" i="44"/>
  <c r="C24" i="44"/>
  <c r="G24" i="44" s="1"/>
  <c r="D24" i="48"/>
  <c r="AX24" i="18"/>
  <c r="AW24" i="18" s="1"/>
  <c r="M24" i="2"/>
  <c r="C25" i="30"/>
  <c r="G25" i="30" s="1"/>
  <c r="I24" i="31"/>
  <c r="J24" i="31" s="1"/>
  <c r="C24" i="58"/>
  <c r="AC7" i="5"/>
  <c r="AZ7" i="18"/>
  <c r="W7" i="14"/>
  <c r="L7" i="15"/>
  <c r="Q7" i="20"/>
  <c r="Y9" i="43"/>
  <c r="W8" i="7"/>
  <c r="AC13" i="5"/>
  <c r="L13" i="15"/>
  <c r="W13" i="14"/>
  <c r="Y15" i="43"/>
  <c r="Q13" i="4"/>
  <c r="Q13" i="20"/>
  <c r="AZ13" i="18"/>
  <c r="M18" i="2"/>
  <c r="G10" i="33"/>
  <c r="I10" i="33" s="1"/>
  <c r="F18" i="58"/>
  <c r="C26" i="30"/>
  <c r="G26" i="30" s="1"/>
  <c r="AX25" i="18"/>
  <c r="W7" i="7"/>
  <c r="Y8" i="43"/>
  <c r="O20" i="32"/>
  <c r="H19" i="30"/>
  <c r="L19" i="30" s="1"/>
  <c r="AY18" i="18"/>
  <c r="AW18" i="18" s="1"/>
  <c r="O13" i="32"/>
  <c r="AY11" i="18"/>
  <c r="AW11" i="18" s="1"/>
  <c r="H12" i="30"/>
  <c r="L12" i="30" s="1"/>
  <c r="O23" i="32"/>
  <c r="AY21" i="18"/>
  <c r="G7" i="58"/>
  <c r="H7" i="58"/>
  <c r="F7" i="58"/>
  <c r="H13" i="58"/>
  <c r="G13" i="58"/>
  <c r="F13" i="58"/>
  <c r="B4" i="78"/>
  <c r="C236" i="47"/>
  <c r="C12" i="48"/>
  <c r="C12" i="91"/>
  <c r="D12" i="91" s="1"/>
  <c r="H12" i="91" s="1"/>
  <c r="Q15" i="4"/>
  <c r="Y15" i="6"/>
  <c r="L15" i="15"/>
  <c r="AZ15" i="18"/>
  <c r="AC15" i="5"/>
  <c r="Q15" i="20"/>
  <c r="Y17" i="43"/>
  <c r="W15" i="14"/>
  <c r="W16" i="7"/>
  <c r="C15" i="91"/>
  <c r="D15" i="91" s="1"/>
  <c r="H15" i="91" s="1"/>
  <c r="C15" i="48"/>
  <c r="C9" i="48"/>
  <c r="C9" i="91"/>
  <c r="D9" i="91" s="1"/>
  <c r="H9" i="91" s="1"/>
  <c r="C20" i="64"/>
  <c r="C20" i="45"/>
  <c r="E20" i="45" s="1"/>
  <c r="W20" i="7"/>
  <c r="W19" i="14"/>
  <c r="AC19" i="5"/>
  <c r="Q19" i="4"/>
  <c r="L19" i="15"/>
  <c r="Y21" i="43"/>
  <c r="Q19" i="20"/>
  <c r="Y19" i="6"/>
  <c r="AZ19" i="18"/>
  <c r="G14" i="58"/>
  <c r="H14" i="58"/>
  <c r="F14" i="58"/>
  <c r="O27" i="32"/>
  <c r="H26" i="30"/>
  <c r="L26" i="30" s="1"/>
  <c r="M25" i="2"/>
  <c r="C25" i="44"/>
  <c r="G25" i="44" s="1"/>
  <c r="AY25" i="18"/>
  <c r="I25" i="31"/>
  <c r="D25" i="48"/>
  <c r="G24" i="33"/>
  <c r="I24" i="33" s="1"/>
  <c r="X28" i="43"/>
  <c r="F24" i="58"/>
  <c r="G24" i="58"/>
  <c r="H24" i="58"/>
  <c r="I25" i="33"/>
  <c r="O24" i="32"/>
  <c r="H23" i="30"/>
  <c r="L23" i="30" s="1"/>
  <c r="AY22" i="18"/>
  <c r="AW22" i="18" s="1"/>
  <c r="D22" i="48"/>
  <c r="C22" i="44"/>
  <c r="G22" i="44" s="1"/>
  <c r="I22" i="31"/>
  <c r="J22" i="31" s="1"/>
  <c r="M22" i="2"/>
  <c r="F19" i="58"/>
  <c r="H19" i="58"/>
  <c r="G19" i="58"/>
  <c r="Y16" i="32"/>
  <c r="W16" i="32"/>
  <c r="Z16" i="32" s="1"/>
  <c r="Y12" i="6"/>
  <c r="Q12" i="20"/>
  <c r="AC12" i="5"/>
  <c r="Q12" i="4"/>
  <c r="L12" i="15"/>
  <c r="W12" i="14"/>
  <c r="AZ12" i="18"/>
  <c r="W13" i="7"/>
  <c r="Y14" i="43"/>
  <c r="D20" i="58"/>
  <c r="F15" i="58"/>
  <c r="G15" i="58"/>
  <c r="H15" i="58"/>
  <c r="H21" i="64"/>
  <c r="E21" i="64"/>
  <c r="F21" i="64"/>
  <c r="I21" i="64"/>
  <c r="C23" i="91"/>
  <c r="D23" i="91" s="1"/>
  <c r="H23" i="91" s="1"/>
  <c r="C23" i="48"/>
  <c r="C8" i="91"/>
  <c r="D8" i="91" s="1"/>
  <c r="H8" i="91" s="1"/>
  <c r="C8" i="48"/>
  <c r="K26" i="32"/>
  <c r="N26" i="32" s="1"/>
  <c r="M26" i="32"/>
  <c r="C19" i="64"/>
  <c r="C19" i="45"/>
  <c r="E19" i="45" s="1"/>
  <c r="C7" i="64"/>
  <c r="C7" i="45"/>
  <c r="E7" i="45" s="1"/>
  <c r="K25" i="32"/>
  <c r="N25" i="32" s="1"/>
  <c r="M25" i="32"/>
  <c r="C18" i="64"/>
  <c r="C18" i="45"/>
  <c r="E18" i="45" s="1"/>
  <c r="K14" i="32"/>
  <c r="N14" i="32" s="1"/>
  <c r="M14" i="32"/>
  <c r="K22" i="32"/>
  <c r="N22" i="32" s="1"/>
  <c r="M22" i="32"/>
  <c r="AZ11" i="18"/>
  <c r="W11" i="14"/>
  <c r="Q11" i="4"/>
  <c r="Q11" i="20"/>
  <c r="L11" i="15"/>
  <c r="Y13" i="43"/>
  <c r="AC11" i="5"/>
  <c r="Y11" i="6"/>
  <c r="W12" i="7"/>
  <c r="W17" i="7"/>
  <c r="Y18" i="43"/>
  <c r="W16" i="14"/>
  <c r="Q16" i="4"/>
  <c r="AZ16" i="18"/>
  <c r="AC16" i="5"/>
  <c r="L16" i="15"/>
  <c r="Q16" i="20"/>
  <c r="Y16" i="6"/>
  <c r="C14" i="48"/>
  <c r="C14" i="91"/>
  <c r="D14" i="91" s="1"/>
  <c r="H14" i="91" s="1"/>
  <c r="C24" i="48"/>
  <c r="C24" i="91"/>
  <c r="D24" i="91" s="1"/>
  <c r="H24" i="91" s="1"/>
  <c r="C7" i="48"/>
  <c r="C7" i="91"/>
  <c r="D7" i="91" s="1"/>
  <c r="H7" i="91" s="1"/>
  <c r="K27" i="32"/>
  <c r="N27" i="32" s="1"/>
  <c r="M27" i="32"/>
  <c r="Y26" i="32"/>
  <c r="W26" i="32"/>
  <c r="Z26" i="32" s="1"/>
  <c r="F239" i="47"/>
  <c r="H10" i="31"/>
  <c r="J10" i="31" s="1"/>
  <c r="D26" i="31"/>
  <c r="K21" i="32"/>
  <c r="N21" i="32" s="1"/>
  <c r="M21" i="32"/>
  <c r="AW6" i="18"/>
  <c r="M8" i="32"/>
  <c r="K8" i="32"/>
  <c r="N8" i="32" s="1"/>
  <c r="C22" i="58"/>
  <c r="F23" i="58"/>
  <c r="H23" i="58"/>
  <c r="G23" i="58"/>
  <c r="M22" i="58"/>
  <c r="C23" i="32"/>
  <c r="C21" i="44"/>
  <c r="G21" i="44" s="1"/>
  <c r="C22" i="30"/>
  <c r="G22" i="30" s="1"/>
  <c r="AX21" i="18"/>
  <c r="AW21" i="18" s="1"/>
  <c r="C21" i="58"/>
  <c r="I21" i="31"/>
  <c r="J21" i="31" s="1"/>
  <c r="M21" i="2"/>
  <c r="D21" i="58"/>
  <c r="D21" i="48"/>
  <c r="F25" i="58"/>
  <c r="G25" i="58"/>
  <c r="H25" i="58"/>
  <c r="O22" i="32"/>
  <c r="H21" i="30"/>
  <c r="L21" i="30" s="1"/>
  <c r="AY20" i="18"/>
  <c r="AW20" i="18" s="1"/>
  <c r="I20" i="31"/>
  <c r="M20" i="2"/>
  <c r="C20" i="44"/>
  <c r="G20" i="44" s="1"/>
  <c r="C20" i="58"/>
  <c r="D20" i="48"/>
  <c r="C13" i="64"/>
  <c r="C13" i="45"/>
  <c r="E13" i="45" s="1"/>
  <c r="C18" i="91"/>
  <c r="D18" i="91" s="1"/>
  <c r="H18" i="91" s="1"/>
  <c r="C18" i="48"/>
  <c r="C26" i="33"/>
  <c r="H10" i="58"/>
  <c r="G10" i="58"/>
  <c r="F10" i="58"/>
  <c r="Q10" i="20"/>
  <c r="AZ10" i="18"/>
  <c r="L10" i="15"/>
  <c r="Y10" i="6"/>
  <c r="W10" i="14"/>
  <c r="AC10" i="5"/>
  <c r="W11" i="7"/>
  <c r="Y12" i="43"/>
  <c r="Q10" i="4"/>
  <c r="K24" i="32"/>
  <c r="N24" i="32" s="1"/>
  <c r="M24" i="32"/>
  <c r="L9" i="15"/>
  <c r="W10" i="7"/>
  <c r="Q9" i="4"/>
  <c r="W9" i="14"/>
  <c r="Y9" i="6"/>
  <c r="Q9" i="20"/>
  <c r="AC9" i="5"/>
  <c r="Y11" i="43"/>
  <c r="AZ9" i="18"/>
  <c r="E26" i="31"/>
  <c r="N11" i="32"/>
  <c r="C238" i="47"/>
  <c r="K17" i="32"/>
  <c r="N17" i="32" s="1"/>
  <c r="M17" i="32"/>
  <c r="K13" i="32"/>
  <c r="N13" i="32" s="1"/>
  <c r="M13" i="32"/>
  <c r="Y18" i="32"/>
  <c r="W18" i="32"/>
  <c r="Z18" i="32" s="1"/>
  <c r="S22" i="58"/>
  <c r="C17" i="91"/>
  <c r="D17" i="91" s="1"/>
  <c r="H17" i="91" s="1"/>
  <c r="C17" i="48"/>
  <c r="Y19" i="32"/>
  <c r="W19" i="32"/>
  <c r="Z19" i="32" s="1"/>
  <c r="C11" i="48"/>
  <c r="C11" i="91"/>
  <c r="D11" i="91" s="1"/>
  <c r="H11" i="91" s="1"/>
  <c r="D26" i="33"/>
  <c r="C20" i="91"/>
  <c r="D20" i="91" s="1"/>
  <c r="H20" i="91" s="1"/>
  <c r="C20" i="48"/>
  <c r="C25" i="58"/>
  <c r="C6" i="45"/>
  <c r="E6" i="45" s="1"/>
  <c r="V26" i="14"/>
  <c r="C6" i="64"/>
  <c r="C22" i="48"/>
  <c r="C26" i="31"/>
  <c r="H6" i="31"/>
  <c r="D22" i="58"/>
  <c r="G9" i="58"/>
  <c r="H9" i="58"/>
  <c r="F9" i="58"/>
  <c r="C16" i="91"/>
  <c r="D16" i="91" s="1"/>
  <c r="H16" i="91" s="1"/>
  <c r="C16" i="48"/>
  <c r="AW15" i="18"/>
  <c r="G11" i="44"/>
  <c r="I10" i="64"/>
  <c r="F10" i="64"/>
  <c r="E10" i="64"/>
  <c r="H10" i="64"/>
  <c r="C10" i="91"/>
  <c r="D10" i="91" s="1"/>
  <c r="H10" i="91" s="1"/>
  <c r="C10" i="48"/>
  <c r="C21" i="48"/>
  <c r="C21" i="91"/>
  <c r="D21" i="91" s="1"/>
  <c r="H21" i="91" s="1"/>
  <c r="W28" i="43"/>
  <c r="C6" i="91"/>
  <c r="D6" i="91" s="1"/>
  <c r="H6" i="91" s="1"/>
  <c r="C6" i="48"/>
  <c r="G7" i="30"/>
  <c r="F27" i="30"/>
  <c r="C19" i="91"/>
  <c r="D19" i="91" s="1"/>
  <c r="H19" i="91" s="1"/>
  <c r="C19" i="48"/>
  <c r="C25" i="48"/>
  <c r="C25" i="91"/>
  <c r="D25" i="91" s="1"/>
  <c r="H25" i="91" s="1"/>
  <c r="C13" i="91"/>
  <c r="D13" i="91" s="1"/>
  <c r="H13" i="91" s="1"/>
  <c r="C13" i="48"/>
  <c r="K16" i="32"/>
  <c r="N16" i="32" s="1"/>
  <c r="M16" i="32"/>
  <c r="D8" i="58"/>
  <c r="D8" i="48"/>
  <c r="C8" i="58"/>
  <c r="I8" i="31"/>
  <c r="C8" i="44"/>
  <c r="G8" i="44" s="1"/>
  <c r="AX8" i="18"/>
  <c r="AW8" i="18" s="1"/>
  <c r="K26" i="2"/>
  <c r="M8" i="2"/>
  <c r="C9" i="30"/>
  <c r="C10" i="32"/>
  <c r="C11" i="45"/>
  <c r="E11" i="45" s="1"/>
  <c r="C11" i="64"/>
  <c r="Y10" i="32"/>
  <c r="W10" i="32"/>
  <c r="Z10" i="32" s="1"/>
  <c r="H17" i="31"/>
  <c r="J17" i="31" s="1"/>
  <c r="F26" i="31"/>
  <c r="G16" i="58"/>
  <c r="F16" i="58"/>
  <c r="H16" i="58"/>
  <c r="H26" i="33"/>
  <c r="S15" i="58" l="1"/>
  <c r="C235" i="47"/>
  <c r="G22" i="91"/>
  <c r="C224" i="47"/>
  <c r="F245" i="47"/>
  <c r="M15" i="58"/>
  <c r="J21" i="64"/>
  <c r="J9" i="64"/>
  <c r="S20" i="58"/>
  <c r="H12" i="64"/>
  <c r="I12" i="64"/>
  <c r="F12" i="64"/>
  <c r="E12" i="64"/>
  <c r="E16" i="64"/>
  <c r="I16" i="64"/>
  <c r="H16" i="64"/>
  <c r="F16" i="64"/>
  <c r="I24" i="64"/>
  <c r="H24" i="64"/>
  <c r="E24" i="64"/>
  <c r="F24" i="64"/>
  <c r="F15" i="64"/>
  <c r="H15" i="64"/>
  <c r="I15" i="64"/>
  <c r="E15" i="64"/>
  <c r="H22" i="64"/>
  <c r="E22" i="64"/>
  <c r="F22" i="64"/>
  <c r="I22" i="64"/>
  <c r="S24" i="58"/>
  <c r="I25" i="64"/>
  <c r="H25" i="64"/>
  <c r="F25" i="64"/>
  <c r="E25" i="64"/>
  <c r="H8" i="64"/>
  <c r="I8" i="64"/>
  <c r="F8" i="64"/>
  <c r="E8" i="64"/>
  <c r="H14" i="64"/>
  <c r="E14" i="64"/>
  <c r="I14" i="64"/>
  <c r="F14" i="64"/>
  <c r="I23" i="64"/>
  <c r="E23" i="64"/>
  <c r="F23" i="64"/>
  <c r="H23" i="64"/>
  <c r="F17" i="64"/>
  <c r="H17" i="64"/>
  <c r="I17" i="64"/>
  <c r="E17" i="64"/>
  <c r="F232" i="47"/>
  <c r="M20" i="58"/>
  <c r="M24" i="58"/>
  <c r="AW25" i="18"/>
  <c r="W20" i="32"/>
  <c r="Z20" i="32" s="1"/>
  <c r="Y20" i="32"/>
  <c r="AZ14" i="18"/>
  <c r="Q14" i="20"/>
  <c r="L14" i="15"/>
  <c r="W15" i="7"/>
  <c r="AC14" i="5"/>
  <c r="Y14" i="6"/>
  <c r="W14" i="14"/>
  <c r="Q14" i="4"/>
  <c r="Y16" i="43"/>
  <c r="Y25" i="32"/>
  <c r="W25" i="32"/>
  <c r="Z25" i="32" s="1"/>
  <c r="Y20" i="43"/>
  <c r="Q18" i="4"/>
  <c r="W19" i="7"/>
  <c r="L18" i="15"/>
  <c r="Y18" i="6"/>
  <c r="W18" i="14"/>
  <c r="AC18" i="5"/>
  <c r="AZ18" i="18"/>
  <c r="Q18" i="20"/>
  <c r="Y13" i="32"/>
  <c r="W13" i="32"/>
  <c r="Z13" i="32" s="1"/>
  <c r="Y26" i="43"/>
  <c r="W25" i="7"/>
  <c r="L24" i="15"/>
  <c r="Q24" i="4"/>
  <c r="Q24" i="20"/>
  <c r="AZ24" i="18"/>
  <c r="W24" i="14"/>
  <c r="Y24" i="6"/>
  <c r="AC24" i="5"/>
  <c r="AW23" i="18"/>
  <c r="Y23" i="32"/>
  <c r="W23" i="32"/>
  <c r="Z23" i="32" s="1"/>
  <c r="H27" i="30"/>
  <c r="L27" i="30" s="1"/>
  <c r="AX26" i="18"/>
  <c r="AZ23" i="18"/>
  <c r="AC23" i="5"/>
  <c r="Q23" i="4"/>
  <c r="Q23" i="20"/>
  <c r="Y23" i="6"/>
  <c r="W23" i="14"/>
  <c r="W24" i="7"/>
  <c r="Y25" i="43"/>
  <c r="L23" i="15"/>
  <c r="I18" i="91"/>
  <c r="G18" i="91"/>
  <c r="G25" i="91"/>
  <c r="I25" i="91"/>
  <c r="J25" i="48"/>
  <c r="K25" i="48"/>
  <c r="J15" i="48"/>
  <c r="K15" i="48"/>
  <c r="J19" i="48"/>
  <c r="K19" i="48"/>
  <c r="J21" i="48"/>
  <c r="K21" i="48"/>
  <c r="H26" i="31"/>
  <c r="J6" i="31"/>
  <c r="K22" i="48"/>
  <c r="J22" i="48"/>
  <c r="I11" i="91"/>
  <c r="G11" i="91"/>
  <c r="K17" i="48"/>
  <c r="J17" i="48"/>
  <c r="F225" i="47"/>
  <c r="G26" i="33"/>
  <c r="I26" i="33" s="1"/>
  <c r="F13" i="64"/>
  <c r="H13" i="64"/>
  <c r="I13" i="64"/>
  <c r="E13" i="64"/>
  <c r="Y22" i="32"/>
  <c r="W22" i="32"/>
  <c r="Z22" i="32" s="1"/>
  <c r="Y21" i="6"/>
  <c r="AZ21" i="18"/>
  <c r="Y23" i="43"/>
  <c r="L21" i="15"/>
  <c r="W21" i="14"/>
  <c r="Q21" i="20"/>
  <c r="AC21" i="5"/>
  <c r="Q21" i="4"/>
  <c r="W22" i="7"/>
  <c r="J24" i="48"/>
  <c r="K24" i="48"/>
  <c r="K14" i="48"/>
  <c r="J14" i="48"/>
  <c r="E19" i="64"/>
  <c r="F19" i="64"/>
  <c r="H19" i="64"/>
  <c r="I19" i="64"/>
  <c r="G23" i="91"/>
  <c r="I23" i="91"/>
  <c r="G20" i="58"/>
  <c r="H20" i="58"/>
  <c r="F20" i="58"/>
  <c r="G15" i="91"/>
  <c r="I15" i="91"/>
  <c r="M10" i="32"/>
  <c r="K10" i="32"/>
  <c r="N10" i="32" s="1"/>
  <c r="G9" i="30"/>
  <c r="C27" i="30"/>
  <c r="G27" i="30" s="1"/>
  <c r="Q8" i="20"/>
  <c r="Q8" i="4"/>
  <c r="W9" i="7"/>
  <c r="Y8" i="6"/>
  <c r="AC8" i="5"/>
  <c r="AZ8" i="18"/>
  <c r="Y10" i="43"/>
  <c r="L8" i="15"/>
  <c r="W8" i="14"/>
  <c r="C7" i="77"/>
  <c r="D7" i="77" s="1"/>
  <c r="C6" i="77"/>
  <c r="D6" i="77" s="1"/>
  <c r="C5" i="77"/>
  <c r="D5" i="77" s="1"/>
  <c r="G19" i="91"/>
  <c r="I19" i="91"/>
  <c r="J10" i="48"/>
  <c r="K10" i="48"/>
  <c r="K16" i="48"/>
  <c r="J16" i="48"/>
  <c r="E6" i="64"/>
  <c r="H6" i="64"/>
  <c r="I6" i="64"/>
  <c r="F6" i="64"/>
  <c r="K11" i="48"/>
  <c r="J11" i="48"/>
  <c r="I17" i="91"/>
  <c r="G17" i="91"/>
  <c r="Q25" i="4"/>
  <c r="W25" i="14"/>
  <c r="Y25" i="6"/>
  <c r="Q25" i="20"/>
  <c r="Y27" i="43"/>
  <c r="AC25" i="5"/>
  <c r="W26" i="7"/>
  <c r="L25" i="15"/>
  <c r="AZ25" i="18"/>
  <c r="E20" i="64"/>
  <c r="I20" i="64"/>
  <c r="H20" i="64"/>
  <c r="F20" i="64"/>
  <c r="O28" i="32"/>
  <c r="G20" i="91"/>
  <c r="I20" i="91"/>
  <c r="J7" i="48"/>
  <c r="K7" i="48"/>
  <c r="G21" i="91"/>
  <c r="I21" i="91"/>
  <c r="I14" i="91"/>
  <c r="G14" i="91"/>
  <c r="I11" i="64"/>
  <c r="E11" i="64"/>
  <c r="H11" i="64"/>
  <c r="F11" i="64"/>
  <c r="G10" i="91"/>
  <c r="I10" i="91"/>
  <c r="I16" i="91"/>
  <c r="G16" i="91"/>
  <c r="B5" i="78"/>
  <c r="B28" i="78" s="1"/>
  <c r="B31" i="78" s="1"/>
  <c r="A2" i="78" s="1"/>
  <c r="C237" i="47"/>
  <c r="K18" i="48"/>
  <c r="J18" i="48"/>
  <c r="I9" i="91"/>
  <c r="G9" i="91"/>
  <c r="AY26" i="18"/>
  <c r="J23" i="48"/>
  <c r="K23" i="48"/>
  <c r="F235" i="47"/>
  <c r="F236" i="47"/>
  <c r="J8" i="48"/>
  <c r="K8" i="48"/>
  <c r="Y24" i="32"/>
  <c r="W24" i="32"/>
  <c r="Z24" i="32" s="1"/>
  <c r="Y27" i="32"/>
  <c r="W27" i="32"/>
  <c r="Z27" i="32" s="1"/>
  <c r="K9" i="48"/>
  <c r="J9" i="48"/>
  <c r="F22" i="58"/>
  <c r="H22" i="58"/>
  <c r="G22" i="58"/>
  <c r="K23" i="32"/>
  <c r="N23" i="32" s="1"/>
  <c r="M23" i="32"/>
  <c r="F7" i="64"/>
  <c r="H7" i="64"/>
  <c r="I7" i="64"/>
  <c r="E7" i="64"/>
  <c r="I26" i="31"/>
  <c r="J8" i="31"/>
  <c r="J13" i="48"/>
  <c r="K13" i="48"/>
  <c r="K6" i="48"/>
  <c r="J6" i="48"/>
  <c r="Q20" i="4"/>
  <c r="L20" i="15"/>
  <c r="Y22" i="43"/>
  <c r="W21" i="7"/>
  <c r="AZ20" i="18"/>
  <c r="Q20" i="20"/>
  <c r="W20" i="14"/>
  <c r="Y20" i="6"/>
  <c r="AC20" i="5"/>
  <c r="I18" i="64"/>
  <c r="F18" i="64"/>
  <c r="E18" i="64"/>
  <c r="H18" i="64"/>
  <c r="I8" i="91"/>
  <c r="G8" i="91"/>
  <c r="B4" i="46"/>
  <c r="J12" i="48"/>
  <c r="K12" i="48"/>
  <c r="H8" i="58"/>
  <c r="G8" i="58"/>
  <c r="F8" i="58"/>
  <c r="G21" i="58"/>
  <c r="F21" i="58"/>
  <c r="H21" i="58"/>
  <c r="G24" i="91"/>
  <c r="I24" i="91"/>
  <c r="I13" i="91"/>
  <c r="G13" i="91"/>
  <c r="I6" i="91"/>
  <c r="G6" i="91"/>
  <c r="J10" i="64"/>
  <c r="J20" i="48"/>
  <c r="K20" i="48"/>
  <c r="C28" i="32"/>
  <c r="I7" i="91"/>
  <c r="G7" i="91"/>
  <c r="W22" i="14"/>
  <c r="W23" i="7"/>
  <c r="AC22" i="5"/>
  <c r="Q22" i="4"/>
  <c r="Y22" i="6"/>
  <c r="L22" i="15"/>
  <c r="AZ22" i="18"/>
  <c r="Q22" i="20"/>
  <c r="Y24" i="43"/>
  <c r="I12" i="91"/>
  <c r="G12" i="91"/>
  <c r="J23" i="64" l="1"/>
  <c r="J17" i="64"/>
  <c r="J25" i="64"/>
  <c r="J16" i="64"/>
  <c r="J13" i="64"/>
  <c r="J19" i="64"/>
  <c r="J24" i="64"/>
  <c r="J7" i="64"/>
  <c r="J15" i="64"/>
  <c r="J8" i="64"/>
  <c r="J22" i="64"/>
  <c r="J12" i="64"/>
  <c r="J18" i="64"/>
  <c r="J14" i="64"/>
  <c r="F244" i="47"/>
  <c r="I9" i="48"/>
  <c r="L13" i="48"/>
  <c r="L18" i="48"/>
  <c r="I24" i="48"/>
  <c r="I20" i="48"/>
  <c r="I7" i="48"/>
  <c r="L11" i="48"/>
  <c r="I10" i="48"/>
  <c r="L22" i="48"/>
  <c r="I12" i="48"/>
  <c r="I6" i="48"/>
  <c r="I14" i="48"/>
  <c r="L8" i="48"/>
  <c r="I16" i="48"/>
  <c r="L19" i="48"/>
  <c r="I23" i="48"/>
  <c r="F223" i="47"/>
  <c r="J26" i="31"/>
  <c r="I15" i="48"/>
  <c r="I17" i="48"/>
  <c r="L21" i="48"/>
  <c r="AW26" i="18"/>
  <c r="L25" i="48"/>
  <c r="M28" i="32"/>
  <c r="K28" i="32"/>
  <c r="N28" i="32" s="1"/>
  <c r="D24" i="46"/>
  <c r="D17" i="46"/>
  <c r="D8" i="46"/>
  <c r="D19" i="46"/>
  <c r="D9" i="46"/>
  <c r="D13" i="46"/>
  <c r="D14" i="46"/>
  <c r="E17" i="46"/>
  <c r="E22" i="46"/>
  <c r="D6" i="46"/>
  <c r="D27" i="46"/>
  <c r="D29" i="46"/>
  <c r="D28" i="46"/>
  <c r="E23" i="46"/>
  <c r="E6" i="46"/>
  <c r="D30" i="46"/>
  <c r="D11" i="46"/>
  <c r="D26" i="46"/>
  <c r="D16" i="46"/>
  <c r="D10" i="46"/>
  <c r="F23" i="46"/>
  <c r="D21" i="46"/>
  <c r="E13" i="46"/>
  <c r="D23" i="46"/>
  <c r="D15" i="46"/>
  <c r="D25" i="46"/>
  <c r="D12" i="46"/>
  <c r="F21" i="46"/>
  <c r="D20" i="46"/>
  <c r="E25" i="46"/>
  <c r="D22" i="46"/>
  <c r="D18" i="46"/>
  <c r="D7" i="46"/>
  <c r="E21" i="46"/>
  <c r="L6" i="48"/>
  <c r="L9" i="48"/>
  <c r="L23" i="48"/>
  <c r="J6" i="64"/>
  <c r="F222" i="47"/>
  <c r="L15" i="48"/>
  <c r="I13" i="48"/>
  <c r="W28" i="32"/>
  <c r="Z28" i="32" s="1"/>
  <c r="Y28" i="32"/>
  <c r="L14" i="48"/>
  <c r="I18" i="48"/>
  <c r="J11" i="64"/>
  <c r="J20" i="64"/>
  <c r="L24" i="48"/>
  <c r="L17" i="48"/>
  <c r="I21" i="48"/>
  <c r="L20" i="48"/>
  <c r="L12" i="48"/>
  <c r="I8" i="48"/>
  <c r="L16" i="48"/>
  <c r="I19" i="48"/>
  <c r="I25" i="48"/>
  <c r="L7" i="48"/>
  <c r="I11" i="48"/>
  <c r="L10" i="48"/>
  <c r="I22" i="48"/>
  <c r="F237" i="47" l="1"/>
  <c r="F238" i="47"/>
  <c r="F224" i="47"/>
  <c r="F234" i="47"/>
  <c r="F233" i="47" l="1"/>
</calcChain>
</file>

<file path=xl/sharedStrings.xml><?xml version="1.0" encoding="utf-8"?>
<sst xmlns="http://schemas.openxmlformats.org/spreadsheetml/2006/main" count="2790" uniqueCount="1207">
  <si>
    <t>Personale soggetto a turnazione (**) Personale indicato in T1</t>
  </si>
  <si>
    <t>Personale soggetto a reperibilità (**) Personale indicato in T1</t>
  </si>
  <si>
    <t>CONTRATTI PER RESA SERVIZI/ADEMPIMENTI OBBLIGATORI PER LEGGE</t>
  </si>
  <si>
    <t>L115</t>
  </si>
  <si>
    <t>j=(a+b+c+d-e-f-g-h-i)</t>
  </si>
  <si>
    <t>k</t>
  </si>
  <si>
    <t>j=k</t>
  </si>
  <si>
    <t>u=(l+m+n+o-p-q-r-s-t)</t>
  </si>
  <si>
    <t>v</t>
  </si>
  <si>
    <t>u=v</t>
  </si>
  <si>
    <t>unità per il calcolo delle assenze (*)</t>
  </si>
  <si>
    <t>Presenti per titolo di studio 
(Tab 9)</t>
  </si>
  <si>
    <t>T1</t>
  </si>
  <si>
    <t>SQ 1</t>
  </si>
  <si>
    <t>T2</t>
  </si>
  <si>
    <t>SQ 2</t>
  </si>
  <si>
    <t>T3</t>
  </si>
  <si>
    <t>SQ 3</t>
  </si>
  <si>
    <t>T4</t>
  </si>
  <si>
    <t>SQ 4</t>
  </si>
  <si>
    <t>T5</t>
  </si>
  <si>
    <t>T6</t>
  </si>
  <si>
    <t>T7</t>
  </si>
  <si>
    <t>IN 1</t>
  </si>
  <si>
    <t>T8</t>
  </si>
  <si>
    <t>IN 2</t>
  </si>
  <si>
    <t>T9</t>
  </si>
  <si>
    <t>IN 4</t>
  </si>
  <si>
    <t>T10</t>
  </si>
  <si>
    <t>IN 5</t>
  </si>
  <si>
    <t>T11</t>
  </si>
  <si>
    <t>IN 6</t>
  </si>
  <si>
    <t>T12</t>
  </si>
  <si>
    <t>IN 7</t>
  </si>
  <si>
    <t>T13</t>
  </si>
  <si>
    <t>T14</t>
  </si>
  <si>
    <t>T15</t>
  </si>
  <si>
    <t>Totale della Tabella T11</t>
  </si>
  <si>
    <t>Totale della Tabella T1</t>
  </si>
  <si>
    <t>Totale della Tabella T3 (personale esterno)</t>
  </si>
  <si>
    <t>Totale Usciti della Tabella T4</t>
  </si>
  <si>
    <t>Totale Entrati della Tabella T4</t>
  </si>
  <si>
    <t>Totale della Tabella T5</t>
  </si>
  <si>
    <t>Incongruenza 7</t>
  </si>
  <si>
    <t>Incongruenza           [se a&gt;0 e (b=0 e c=0 e d=0 e e=0 e f=0)]</t>
  </si>
  <si>
    <t>Incongruenza         [se a=0 e (b&gt;0 o c&gt;0 o d&gt;0 o e&gt;0 o f&gt;0)]</t>
  </si>
  <si>
    <t>Contratti di somministrazione (ex interinale)</t>
  </si>
  <si>
    <t>Contratti di somministrazione
(ex Interinale) (*)</t>
  </si>
  <si>
    <t>INDIRIZZO PAGINA WEB DELL'ENTE</t>
  </si>
  <si>
    <t>CONVENZIONI</t>
  </si>
  <si>
    <t>Passaggi ad altra Amministrazione dello stesso comparto (*)</t>
  </si>
  <si>
    <t>Passaggi ad altra Amministrazione di altro comparto (*)</t>
  </si>
  <si>
    <t>LAUREA BREVE</t>
  </si>
  <si>
    <t>SPECIALIZZAZIONE
POST LAUREA/ DOTTORATO DI RICERCA</t>
  </si>
  <si>
    <t>ALTRI TITOLI
POST LAUREA</t>
  </si>
  <si>
    <t>FORMAZIONE</t>
  </si>
  <si>
    <t>N U M E R O      D I     D I P E N D E N T I</t>
  </si>
  <si>
    <t>Cod.</t>
  </si>
  <si>
    <t>Uomini</t>
  </si>
  <si>
    <t>Donne</t>
  </si>
  <si>
    <t>TOTALE</t>
  </si>
  <si>
    <t>A tempo pieno</t>
  </si>
  <si>
    <t>FERIE</t>
  </si>
  <si>
    <t>N. gg</t>
  </si>
  <si>
    <t>FINO ALLA SCUOLA DELL'OBBLIGO</t>
  </si>
  <si>
    <t>LIC. MEDIA SUPERIORE</t>
  </si>
  <si>
    <t>LAUREA</t>
  </si>
  <si>
    <t>tra 25 e 29 anni</t>
  </si>
  <si>
    <t xml:space="preserve"> tra 30 e 34 anni</t>
  </si>
  <si>
    <t>tra 35 e 39 anni</t>
  </si>
  <si>
    <t>tra 40 e 44 anni</t>
  </si>
  <si>
    <t>tra 45 e 49 anni</t>
  </si>
  <si>
    <t>tra 50 e 54 anni</t>
  </si>
  <si>
    <t>tra 55 e 59 anni</t>
  </si>
  <si>
    <t>tra 60 e 64 anni</t>
  </si>
  <si>
    <t>U</t>
  </si>
  <si>
    <t>D</t>
  </si>
  <si>
    <t>tra 0 e 5 anni</t>
  </si>
  <si>
    <t>tra 6 e 10 anni</t>
  </si>
  <si>
    <t xml:space="preserve"> tra 11 e 15 anni</t>
  </si>
  <si>
    <t>tra 16 e 20 anni</t>
  </si>
  <si>
    <t>tra 21 e 25 anni</t>
  </si>
  <si>
    <t>tra 26 e 30 anni</t>
  </si>
  <si>
    <t>tra 31 e 35 anni</t>
  </si>
  <si>
    <t>tra 36 e 40 anni</t>
  </si>
  <si>
    <t>Altre cause</t>
  </si>
  <si>
    <t>FUORI RUOLO</t>
  </si>
  <si>
    <t>(*) Escluso il personale comandato e quello fuori ruolo</t>
  </si>
  <si>
    <t>Codice</t>
  </si>
  <si>
    <t>CATEGORIA</t>
  </si>
  <si>
    <t>Importo</t>
  </si>
  <si>
    <t>IRAP</t>
  </si>
  <si>
    <t>ALTRE SPESE</t>
  </si>
  <si>
    <t xml:space="preserve">Voci di spesa </t>
  </si>
  <si>
    <t xml:space="preserve"> </t>
  </si>
  <si>
    <t>TREDICESIMA MENSILTA'</t>
  </si>
  <si>
    <t>RECUPERI DERIVANTI DA ASSENZE, RITARDI, ECC.</t>
  </si>
  <si>
    <t>cod.</t>
  </si>
  <si>
    <t>VALLE D'AOSTA</t>
  </si>
  <si>
    <t>PIEMONTE</t>
  </si>
  <si>
    <t>LOMBARDIA</t>
  </si>
  <si>
    <t>VENETO</t>
  </si>
  <si>
    <t>LIGURIA</t>
  </si>
  <si>
    <t>EMILIA ROMAGNA</t>
  </si>
  <si>
    <t>TOSCANA</t>
  </si>
  <si>
    <t>UMBRIA</t>
  </si>
  <si>
    <t>MARCHE</t>
  </si>
  <si>
    <t>LAZIO</t>
  </si>
  <si>
    <t>MOLISE</t>
  </si>
  <si>
    <t>CAMPANIA</t>
  </si>
  <si>
    <t>PUGLIA</t>
  </si>
  <si>
    <t>BASILICATA</t>
  </si>
  <si>
    <t>CALABRIA</t>
  </si>
  <si>
    <t>SICILIA</t>
  </si>
  <si>
    <t>SARDEGNA</t>
  </si>
  <si>
    <t>DESCRIZIONE</t>
  </si>
  <si>
    <t>CODICE</t>
  </si>
  <si>
    <t>In part-time
fino al 50%</t>
  </si>
  <si>
    <t>In part-time
oltre il 50%</t>
  </si>
  <si>
    <t>A tempo determinato (*)</t>
  </si>
  <si>
    <t>Formazione lavoro (*)</t>
  </si>
  <si>
    <t>(*) dati su base annua</t>
  </si>
  <si>
    <t>(**) presenti al 31 dicembre anno corrente</t>
  </si>
  <si>
    <t xml:space="preserve">TOTALE
USCITI
</t>
  </si>
  <si>
    <t>qualifica/posizione economica/profilo</t>
  </si>
  <si>
    <t>qualifica / posiz.economica/profilo</t>
  </si>
  <si>
    <t>PERSONALE DELL'AMMINISTRAZIONE (* )</t>
  </si>
  <si>
    <t>PERSONALE ESTERNO ( ** )</t>
  </si>
  <si>
    <t>(**) Personale comandato e fuori ruolo da altre Amministrazioni</t>
  </si>
  <si>
    <t>qualifica/posiz. economica/profilo</t>
  </si>
  <si>
    <t>qualifica/posiz.economica/profilo</t>
  </si>
  <si>
    <t>STIPENDIO</t>
  </si>
  <si>
    <t>EROGAZIONE BUONI PASTO</t>
  </si>
  <si>
    <t>INDENNITA' DI MISSIONE E TRASFERIMENTO</t>
  </si>
  <si>
    <t>EQUO INDENNIZZO AL PERSONALE</t>
  </si>
  <si>
    <t>BENESSERE DEL PERSONALE</t>
  </si>
  <si>
    <t>FORMAZIONE DEL PERSONALE</t>
  </si>
  <si>
    <t>Qualifica/Posiz.economica/Profilo</t>
  </si>
  <si>
    <t>ASSEGNI PER IL NUCLEO FAMILIARE</t>
  </si>
  <si>
    <t xml:space="preserve">(**) dato pari alla somma del personale a tempo pieno + in part-time fino al 50% + in part-time oltre il 50% </t>
  </si>
  <si>
    <t xml:space="preserve">(*) Escluso il personale comandato e quello fuori ruolo </t>
  </si>
  <si>
    <t xml:space="preserve">TOTALE </t>
  </si>
  <si>
    <t>L005</t>
  </si>
  <si>
    <t>P015</t>
  </si>
  <si>
    <t>P016</t>
  </si>
  <si>
    <t>P062</t>
  </si>
  <si>
    <t>L105</t>
  </si>
  <si>
    <t>P065</t>
  </si>
  <si>
    <t>P055</t>
  </si>
  <si>
    <t>P058</t>
  </si>
  <si>
    <t>P061</t>
  </si>
  <si>
    <t>P090</t>
  </si>
  <si>
    <t>P030</t>
  </si>
  <si>
    <t>L010</t>
  </si>
  <si>
    <t>L011</t>
  </si>
  <si>
    <t>L020</t>
  </si>
  <si>
    <t>L090</t>
  </si>
  <si>
    <t>L100</t>
  </si>
  <si>
    <t>COPERTURE ASSICURATIVE</t>
  </si>
  <si>
    <t>L107</t>
  </si>
  <si>
    <t>L110</t>
  </si>
  <si>
    <t>TOTALE ENTRATI</t>
  </si>
  <si>
    <t>fino a 19 anni</t>
  </si>
  <si>
    <t>tra 20 e 24 anni</t>
  </si>
  <si>
    <t>ENTRATI in: qualifica/posizione economica/profilo</t>
  </si>
  <si>
    <t>(a) personale a tempo indeterminato al quale viene applicato un contratto di lavoro di tipo privatistico (es.:tipografico,chimico,edile,metalmeccanico,portierato, ecc.)</t>
  </si>
  <si>
    <t>ARRETRATI  ANNI PRECEDENTI</t>
  </si>
  <si>
    <t>NUMERO DI MENSILITA' (**)</t>
  </si>
  <si>
    <t>(*) gli importi vanno indicati in EURO, senza cifre decimali (cfr. circolare: "istruzioni generali e specifiche di comparto")</t>
  </si>
  <si>
    <t>(**) il numero delle mensilità va espresso con 2 cifre decimali (cfr. circolare: "istruzioni generali e specifiche di comparto ")</t>
  </si>
  <si>
    <t xml:space="preserve">COMANDATI / DISTACCATI </t>
  </si>
  <si>
    <t>ALTRE ASSENZE NON RETRIBUITE</t>
  </si>
  <si>
    <t>Coerenza</t>
  </si>
  <si>
    <t>Tot Cessati (Tab 5)</t>
  </si>
  <si>
    <t>Tot Entrati (Tab 4)</t>
  </si>
  <si>
    <t>Tot Usciti (Tab 4)</t>
  </si>
  <si>
    <t>A tempo determinato</t>
  </si>
  <si>
    <t>Formazione lavoro</t>
  </si>
  <si>
    <t>L.S.U</t>
  </si>
  <si>
    <t>Scostamento in valore assoluto</t>
  </si>
  <si>
    <t>Codici qualifiche</t>
  </si>
  <si>
    <t>Qualifiche</t>
  </si>
  <si>
    <t>a</t>
  </si>
  <si>
    <t>b</t>
  </si>
  <si>
    <t>c</t>
  </si>
  <si>
    <t>d</t>
  </si>
  <si>
    <t>e</t>
  </si>
  <si>
    <t>f=(a-b+c-d+e)</t>
  </si>
  <si>
    <t>g</t>
  </si>
  <si>
    <t>f=g</t>
  </si>
  <si>
    <t xml:space="preserve">Coerenza </t>
  </si>
  <si>
    <t>Presenti per classi di anzianità di servizio (Tab 7)</t>
  </si>
  <si>
    <t>Presenti per classi di età (Tab 8)</t>
  </si>
  <si>
    <t>Fuori ruolo esterni (IN) (Tab 3)</t>
  </si>
  <si>
    <t>Comandati esterni (IN)  (Tab 3)</t>
  </si>
  <si>
    <t>Fuori ruolo interni (OUT) (Tab 3)</t>
  </si>
  <si>
    <t>h</t>
  </si>
  <si>
    <t>i</t>
  </si>
  <si>
    <t>l</t>
  </si>
  <si>
    <t>m</t>
  </si>
  <si>
    <t>n</t>
  </si>
  <si>
    <t>p</t>
  </si>
  <si>
    <t>Cessati (Tab 5)</t>
  </si>
  <si>
    <t xml:space="preserve"> Assunti (Tab 6)</t>
  </si>
  <si>
    <t>Entrati (Tab 4)</t>
  </si>
  <si>
    <t>Usciti (Tab 4)</t>
  </si>
  <si>
    <t>f</t>
  </si>
  <si>
    <t>f&lt;=e</t>
  </si>
  <si>
    <t>a=b=c=d</t>
  </si>
  <si>
    <t>(e=f=g=h)</t>
  </si>
  <si>
    <t>Comandati interni (OUT) (Tab 3)</t>
  </si>
  <si>
    <t>(*) Solo per le tipologie tenute all'invio della TABELLA 10</t>
  </si>
  <si>
    <t>Totale personale distribuito per Regioni  (calcolato)</t>
  </si>
  <si>
    <t>Totale personale distribuito per Regioni (Tab 10)</t>
  </si>
  <si>
    <t>e=(a-b+c+d)</t>
  </si>
  <si>
    <t xml:space="preserve">Consistenza nella qualifica </t>
  </si>
  <si>
    <t>Spesa (Tab 14)</t>
  </si>
  <si>
    <t>Compresenza</t>
  </si>
  <si>
    <t>Qualifica</t>
  </si>
  <si>
    <t>Mensilità (Tab 12)</t>
  </si>
  <si>
    <t>c=(b/a*12)</t>
  </si>
  <si>
    <t>e=(c-d)</t>
  </si>
  <si>
    <t>f=(e/d*100)</t>
  </si>
  <si>
    <t>Spesa per stipendio (Tab 12)</t>
  </si>
  <si>
    <t>Spesa media annua per stipendio (per 12 mensilità)</t>
  </si>
  <si>
    <t>Importi stipendiali contrattuali annui (per 12 mensilità)</t>
  </si>
  <si>
    <t>Scostamento percentuale</t>
  </si>
  <si>
    <t>(*) Personale comandato e fuori ruolo verso altre Amministrazioni</t>
  </si>
  <si>
    <t>Tot Assunti (Tab 6)</t>
  </si>
  <si>
    <t>Controlli di coerenza</t>
  </si>
  <si>
    <t>IMPORTI</t>
  </si>
  <si>
    <t>Codici spesa</t>
  </si>
  <si>
    <t>Importi comunicati (Tab 14)</t>
  </si>
  <si>
    <t>Incidenza percentuale: Importi comunicati Tab 14 / (Tabella 12 + Tabella 13)</t>
  </si>
  <si>
    <t>N U M E R O   D I   D I P E N D E N T I</t>
  </si>
  <si>
    <t xml:space="preserve">N U M E R O   D I   D I P E N D E N T I </t>
  </si>
  <si>
    <t xml:space="preserve">N U M E R O   D I   D I P E N D E N T I  </t>
  </si>
  <si>
    <t>N U M E R O   G I O R N I   D I   A S S E N Z A</t>
  </si>
  <si>
    <t xml:space="preserve">USCITI da: 
qualifica/posizione economica/profilo
</t>
  </si>
  <si>
    <t xml:space="preserve">Codice
</t>
  </si>
  <si>
    <t>V O C I   D I   S P E S A</t>
  </si>
  <si>
    <t>U O M I N I</t>
  </si>
  <si>
    <t>D O N N E</t>
  </si>
  <si>
    <t>Tavola di controllo degli usciti dalla qualifica di Tabella 4 (Squadratura 4)</t>
  </si>
  <si>
    <t>Tavola di congruenza tra spesa media annua per stipendio (Tabella 12) e importi stipendiali contrattuali</t>
  </si>
  <si>
    <t>Tavola di controllo dei valori di spesa di Tabella 14: incidenza % di ciascun valore sul totale delle spese di Tabella 12+Tabella 13</t>
  </si>
  <si>
    <t>TOTALE TABELLA 12 + TABELLA 13:</t>
  </si>
  <si>
    <t>PARTITA IVA DELL'ENTE</t>
  </si>
  <si>
    <t xml:space="preserve">CODICE FISCALE DELL'ENTE </t>
  </si>
  <si>
    <t>TELEFONO</t>
  </si>
  <si>
    <t xml:space="preserve">FAX </t>
  </si>
  <si>
    <t>E-MAIL</t>
  </si>
  <si>
    <t>INDIRIZZO</t>
  </si>
  <si>
    <t xml:space="preserve">VIA </t>
  </si>
  <si>
    <t>C.A.P.</t>
  </si>
  <si>
    <t>PRESIDENTE:</t>
  </si>
  <si>
    <t>COGNOME</t>
  </si>
  <si>
    <t>NOME</t>
  </si>
  <si>
    <t>COMPONENTI:</t>
  </si>
  <si>
    <t>I modelli debbono essere sottoscritti dai revisori dei conti</t>
  </si>
  <si>
    <t>Non compilare</t>
  </si>
  <si>
    <t>numero contratti</t>
  </si>
  <si>
    <t>numero unità</t>
  </si>
  <si>
    <t>PC</t>
  </si>
  <si>
    <t>S998</t>
  </si>
  <si>
    <t>S999</t>
  </si>
  <si>
    <t>T101</t>
  </si>
  <si>
    <t>ND</t>
  </si>
  <si>
    <t>E-Mail</t>
  </si>
  <si>
    <t>ESTERO</t>
  </si>
  <si>
    <t>FRIULI VENEZIA GIULIA</t>
  </si>
  <si>
    <t>PROVINCIA AUTONOMA TRENTO</t>
  </si>
  <si>
    <t>PROVINCIA AUTONOMA BOLZANO</t>
  </si>
  <si>
    <t>N° Civico</t>
  </si>
  <si>
    <t>F00</t>
  </si>
  <si>
    <t>SC1</t>
  </si>
  <si>
    <t>SS2</t>
  </si>
  <si>
    <t>Totale uomini e donne (Tab T5)</t>
  </si>
  <si>
    <t>Totale della Tabella T13</t>
  </si>
  <si>
    <t>TABELLE 12 -13 ASSENTI</t>
  </si>
  <si>
    <t>Totale usciti (Tab T4)</t>
  </si>
  <si>
    <t>Mensilità (Tab T12)</t>
  </si>
  <si>
    <t>Tavola di congruenza tra Presenti al 31-12 del totale  uomini e donne o Totale uomini e donne Tabella 5 e mensilità della Tabella T12</t>
  </si>
  <si>
    <t>Congruenza (se a&gt;0 o b&gt;0 o c&gt;0 e d&gt;0 )</t>
  </si>
  <si>
    <t>1.0</t>
  </si>
  <si>
    <t>ARRETRATI ANNI PRECEDENTI</t>
  </si>
  <si>
    <t>STRAORDINARIO</t>
  </si>
  <si>
    <t>ATTENZIONE: non compilare in caso in cui l'ente non è tenuto all'invio</t>
  </si>
  <si>
    <t>Congruenza          ( a&gt;0 e b&gt;0)</t>
  </si>
  <si>
    <t>CITTA'                                                     PROV.</t>
  </si>
  <si>
    <t>TABELLE COMPILATE
(attenzione: la seguente sezione verrà compilata in automatico; all'atto dell'inserimento dei dati nel kit verrà annerita la relativa casella)</t>
  </si>
  <si>
    <t>Fino a 1 anno</t>
  </si>
  <si>
    <t>Da 1 a 2 anni</t>
  </si>
  <si>
    <t>Da 2 a 3 anni</t>
  </si>
  <si>
    <t>Oltre i 3 anni</t>
  </si>
  <si>
    <t>Uomo / Donna</t>
  </si>
  <si>
    <t>Tempo determinato</t>
  </si>
  <si>
    <t>TOTALE Tempo determinato</t>
  </si>
  <si>
    <t>Z01</t>
  </si>
  <si>
    <t>T2A</t>
  </si>
  <si>
    <t>Convenzioni esterni (IN) (Tab 3)</t>
  </si>
  <si>
    <t>Convenzioni interni (OUT) (Tab 3)</t>
  </si>
  <si>
    <t>o</t>
  </si>
  <si>
    <t>q</t>
  </si>
  <si>
    <t>r</t>
  </si>
  <si>
    <t>t</t>
  </si>
  <si>
    <t>Totale (Uomini + donne della sezione "Personale Esterno" COMANDATI / DISTACCATI + FUORI RUOLO+CONVENZIONI)+Mensilità medie da T12(mensilità /12)</t>
  </si>
  <si>
    <t>valore</t>
  </si>
  <si>
    <t xml:space="preserve">Assunzione per chiamata diretta (L. 68/99 - categorie protette) </t>
  </si>
  <si>
    <t xml:space="preserve">Assunzione per chiamata numerica (L. 68/99 - categorie protette) </t>
  </si>
  <si>
    <t>Passaggi da altra Amministrazione dello stesso comparto (*)</t>
  </si>
  <si>
    <t>Passaggi da altra Amministrazione di altro comparto (*)</t>
  </si>
  <si>
    <t>Tavola di controllo dei Valori Medi</t>
  </si>
  <si>
    <t>valori medi assenze</t>
  </si>
  <si>
    <r>
      <t xml:space="preserve">mensilità medie </t>
    </r>
    <r>
      <rPr>
        <b/>
        <sz val="7"/>
        <rFont val="Arial"/>
        <family val="2"/>
      </rPr>
      <t xml:space="preserve">
</t>
    </r>
    <r>
      <rPr>
        <sz val="7"/>
        <rFont val="Arial"/>
        <family val="2"/>
      </rPr>
      <t>(mensilità/12)</t>
    </r>
  </si>
  <si>
    <t>ASSENZE RETRIBUITE</t>
  </si>
  <si>
    <t>ASSENZE NON RETRIBUITE</t>
  </si>
  <si>
    <r>
      <t xml:space="preserve">TOTALE VOCI STIPENDIALI
TABELLA 12
</t>
    </r>
    <r>
      <rPr>
        <sz val="7"/>
        <rFont val="Small Fonts"/>
        <family val="2"/>
      </rPr>
      <t>(esclusi arr. anni prec. e recuperi)</t>
    </r>
  </si>
  <si>
    <t>INDENNITA' FISSE</t>
  </si>
  <si>
    <t>ALTRE ACCESSORIE</t>
  </si>
  <si>
    <r>
      <t xml:space="preserve">TOTALE INDENNITA' FISSE ED ACCESSORIE
TABELLA 13
</t>
    </r>
    <r>
      <rPr>
        <sz val="7"/>
        <rFont val="Small Fonts"/>
        <family val="2"/>
      </rPr>
      <t>(esclusi arretrati anni precedenti)</t>
    </r>
  </si>
  <si>
    <t>COMPONENTI COLLEGIO DEI REVISORI (O ORGANO EQUIVALENTE)</t>
  </si>
  <si>
    <t>RESPONSABILE DEL PROCEDIMENTO AMMINISTRATIVO DI CUI ALLA LEGGE 7/8/90, N. 241 CAPO II°</t>
  </si>
  <si>
    <t>Anzianità di servizio maturata al 31/12, anche in modo non continuativo, nell'attuale o in altre amministrazioni</t>
  </si>
  <si>
    <t>SCIOPERO</t>
  </si>
  <si>
    <t>Tavola di compresenza tra importi comunicati in tab.13 e mensilità (tab.12) o personale esterno (tab.3)</t>
  </si>
  <si>
    <t>INFORMAZIONI ISTITUZIONE</t>
  </si>
  <si>
    <t>DOMANDE PRESENTI IN CIRCOLARE</t>
  </si>
  <si>
    <t>Collocamento a riposo per limiti di età</t>
  </si>
  <si>
    <t>Passaggi per esternalizzazioni (*)</t>
  </si>
  <si>
    <t>ALTRE SPESE ACCESSORIE ED INDENNITA' VARIE</t>
  </si>
  <si>
    <t>Nomina da concorso</t>
  </si>
  <si>
    <t>C01</t>
  </si>
  <si>
    <t>C03</t>
  </si>
  <si>
    <t>C17</t>
  </si>
  <si>
    <t>C18</t>
  </si>
  <si>
    <t>C19</t>
  </si>
  <si>
    <t>C99</t>
  </si>
  <si>
    <t>A23</t>
  </si>
  <si>
    <t>A24</t>
  </si>
  <si>
    <t>A27</t>
  </si>
  <si>
    <t>A28</t>
  </si>
  <si>
    <t>A29</t>
  </si>
  <si>
    <t>A30</t>
  </si>
  <si>
    <t>A31</t>
  </si>
  <si>
    <t>Totale Risorse fisse</t>
  </si>
  <si>
    <t>Risorse variabili</t>
  </si>
  <si>
    <t>Totale Risorse variabili</t>
  </si>
  <si>
    <t>ALTRI PERMESSI ED ASSENZE RETRIBUITE</t>
  </si>
  <si>
    <t>ASS.RETRIB.:MATERNITA',CONGEDO PARENT.,MALATTIA FIGLIO</t>
  </si>
  <si>
    <t>LEGGE 104/92</t>
  </si>
  <si>
    <t>ASSENZE PER MALATTIA RETRIBUITE</t>
  </si>
  <si>
    <t>M04</t>
  </si>
  <si>
    <t>PR4</t>
  </si>
  <si>
    <t>PR5</t>
  </si>
  <si>
    <t>PR6</t>
  </si>
  <si>
    <t>ABRUZZO</t>
  </si>
  <si>
    <t xml:space="preserve">GESTIONE MENSE </t>
  </si>
  <si>
    <t>SOMME CORRISPOSTE AD AGENZIA DI SOMMINISTRAZIONE(INTERINALI)</t>
  </si>
  <si>
    <t>RETRIBUZIONI PERSONALE  A TEMPO DETERMINATO</t>
  </si>
  <si>
    <t>RETRIBUZIONI PERSONALE CON CONTRATTO DI FORMAZIONE E LAVORO</t>
  </si>
  <si>
    <t>CONTRIBUTI A CARICO DELL'AMM.NE SU COMP. FISSE E ACCESSORIE</t>
  </si>
  <si>
    <t>QUOTE ANNUE ACCANTONAMENTO TFR O ALTRA IND. FINE SERVIZIO</t>
  </si>
  <si>
    <t>ONERI PER I CONTRATTI DI SOMMINISTRAZIONE(INTERINALI)</t>
  </si>
  <si>
    <t>P098</t>
  </si>
  <si>
    <r>
      <t>ANOMALIE RISCONTRATE</t>
    </r>
    <r>
      <rPr>
        <b/>
        <sz val="10"/>
        <rFont val="Arial"/>
        <family val="2"/>
      </rPr>
      <t xml:space="preserve">
(attenzione: la seguente sezione verrà compilata in automatico; all'atto dell'inserimento dei dati nel kit verranno evidenziate eventuali anomalie)</t>
    </r>
  </si>
  <si>
    <t>Congruenza (max scostamento consentito +/- 2%)</t>
  </si>
  <si>
    <t>v. a. di f&lt;=2%</t>
  </si>
  <si>
    <t>tra 41 e 43 anni</t>
  </si>
  <si>
    <t>44 e oltre</t>
  </si>
  <si>
    <t>tra 65 e 67 anni</t>
  </si>
  <si>
    <t>68 e oltre</t>
  </si>
  <si>
    <t>C25</t>
  </si>
  <si>
    <t>O10</t>
  </si>
  <si>
    <t>CONGEDI RETRIBUITI AI SENSI DELL'ART.42,C.5, DLGS 151/2001</t>
  </si>
  <si>
    <t>ALTRE SOMME RIMBORSATE ALLE AMMINISTRAZIONI</t>
  </si>
  <si>
    <t>P074</t>
  </si>
  <si>
    <t>P099</t>
  </si>
  <si>
    <t>c=(b/a)</t>
  </si>
  <si>
    <t>f=(e/a)</t>
  </si>
  <si>
    <t>Incidenza percentuale arretrati a.p.</t>
  </si>
  <si>
    <t>Incidenza percentuale altre accessorie</t>
  </si>
  <si>
    <t>Incongruenza 8</t>
  </si>
  <si>
    <t>IN 8</t>
  </si>
  <si>
    <t>c&lt;=20%</t>
  </si>
  <si>
    <t>f&lt;=20%</t>
  </si>
  <si>
    <t>Congruenza (max incidenza consentita 20%)</t>
  </si>
  <si>
    <t>Tavola di controllo della spesa per "arretrati a.p." e "altre accessorie" di T13: incidenza % di ciascun valore sul totale di Tabella 13</t>
  </si>
  <si>
    <t>A015</t>
  </si>
  <si>
    <t>A035</t>
  </si>
  <si>
    <t>A045</t>
  </si>
  <si>
    <t>A070</t>
  </si>
  <si>
    <t>M000</t>
  </si>
  <si>
    <t>NOTE</t>
  </si>
  <si>
    <t>Voce di spesa (Tab 14)</t>
  </si>
  <si>
    <t>codice (Tab 14)</t>
  </si>
  <si>
    <t>Valore Medio Unitario:
b / a</t>
  </si>
  <si>
    <t>Incidenza % 
L105 / P062</t>
  </si>
  <si>
    <t>Compresenza 
e/o 
controllo incidenza %</t>
  </si>
  <si>
    <t>RIMBORSI RICEVUTI PER PERS. COMAND./FUORI RUOLO/IN CONV. (-)</t>
  </si>
  <si>
    <t>SOMME RICEVUTE DA U.E. E/O PRIVATI (-)</t>
  </si>
  <si>
    <t>ALTRI RIMBORSI RICEVUTI DALLE AMMINISTRAZIONI (-)</t>
  </si>
  <si>
    <t>(*)  gli importi vanno indicati in EURO, senza cifre decimali (cfr. circolare: "istruzioni generali e specifiche di comparto")</t>
  </si>
  <si>
    <r>
      <t xml:space="preserve">valori medi annui pro-capite per voci retributive a carattere "stipendiale" </t>
    </r>
    <r>
      <rPr>
        <sz val="8"/>
        <rFont val="Arial"/>
        <family val="2"/>
      </rPr>
      <t>(**)</t>
    </r>
  </si>
  <si>
    <r>
      <t>valori medi annui pro-capite per indennità e compensi accessori</t>
    </r>
    <r>
      <rPr>
        <sz val="8"/>
        <rFont val="Arial"/>
        <family val="2"/>
      </rPr>
      <t xml:space="preserve"> (**)</t>
    </r>
  </si>
  <si>
    <t>(**) Valore medio annuo pro-capite calcolato dividendo la spesa per le unità di riferimento (mensilità della T12 / 12)</t>
  </si>
  <si>
    <t>assenze in T11, ma nessuna unità in T1</t>
  </si>
  <si>
    <t xml:space="preserve">Controllo incidenza % L105 / P062  =&gt;  </t>
  </si>
  <si>
    <t>Incongruenza
[(a-gg formazione)&gt;(mens.T12/12*260)]</t>
  </si>
  <si>
    <r>
      <t xml:space="preserve">*(asterisco): si intende campo obbligatorio
</t>
    </r>
    <r>
      <rPr>
        <sz val="9"/>
        <rFont val="Arial"/>
        <family val="2"/>
      </rPr>
      <t/>
    </r>
  </si>
  <si>
    <t>EPNE</t>
  </si>
  <si>
    <t>DIRETTORE GENERALE</t>
  </si>
  <si>
    <t>0D0097</t>
  </si>
  <si>
    <t>DIRIGENTE I FASCIA</t>
  </si>
  <si>
    <t>0D0077</t>
  </si>
  <si>
    <t>DIRIGENTE I FASCIA A TEMPO DETERM.</t>
  </si>
  <si>
    <t>0D0078</t>
  </si>
  <si>
    <t>DIRIGENTE II FASCIA</t>
  </si>
  <si>
    <t>0D0079</t>
  </si>
  <si>
    <t>DIRIGENTE II FASCIA A TEMPO DETERM.</t>
  </si>
  <si>
    <t>0D0080</t>
  </si>
  <si>
    <t>MEDICO II FASCIA T.P.</t>
  </si>
  <si>
    <t>0D0584</t>
  </si>
  <si>
    <t>MEDICO I FASCIA T.P.</t>
  </si>
  <si>
    <t>0D0585</t>
  </si>
  <si>
    <t>MEDICO II FASCIA T.D.</t>
  </si>
  <si>
    <t>0D0586</t>
  </si>
  <si>
    <t>MEDICO I FASCIA T.D.</t>
  </si>
  <si>
    <t>0D0496</t>
  </si>
  <si>
    <t>PROF.STI LEGALI LIV. II DIFF.</t>
  </si>
  <si>
    <t>0D0473</t>
  </si>
  <si>
    <t>PROF.STI LEGALI LIV. I DIFF.</t>
  </si>
  <si>
    <t>0D0472</t>
  </si>
  <si>
    <t>PROF.STI LEGALI</t>
  </si>
  <si>
    <t>0D0084</t>
  </si>
  <si>
    <t>ALTRI PROF.STI LIV. II DIFF.</t>
  </si>
  <si>
    <t>0D0481</t>
  </si>
  <si>
    <t>ALTRI PROF.STI LIV. I DIFF.</t>
  </si>
  <si>
    <t>0D0480</t>
  </si>
  <si>
    <t>ALTRI PROF.STI</t>
  </si>
  <si>
    <t>0D0075</t>
  </si>
  <si>
    <t>000061</t>
  </si>
  <si>
    <t>MEDICI</t>
  </si>
  <si>
    <t>MD</t>
  </si>
  <si>
    <t>PROFESSIONISTI</t>
  </si>
  <si>
    <t>AP</t>
  </si>
  <si>
    <t>PERSONALE CONTRATTISTA</t>
  </si>
  <si>
    <t>IND. DI VACANZA CONTRATTUALE</t>
  </si>
  <si>
    <t>RETRIBUZIONE DI POSIZIONE</t>
  </si>
  <si>
    <t>RETRIBUZIONE DI POSIZIONE - QUOTA VARIABILE</t>
  </si>
  <si>
    <t>RETRIBUZIONE DI RISULTATO</t>
  </si>
  <si>
    <t>INDENNITA' DI ENTE</t>
  </si>
  <si>
    <t>COMPENSI ONERI RISCHI E DISAGI</t>
  </si>
  <si>
    <t>INDENNITA'  FUNZIONE POSIZIONI ORGANIZZATIVE</t>
  </si>
  <si>
    <t xml:space="preserve">COMPENSI PRODUTTIVITA' </t>
  </si>
  <si>
    <t>PROGETTI SPECIALI ( ART.18 L.88/89 )</t>
  </si>
  <si>
    <t>INCENTIVI ALLA MOBILITA'</t>
  </si>
  <si>
    <t>I422</t>
  </si>
  <si>
    <t>I207</t>
  </si>
  <si>
    <t>I507</t>
  </si>
  <si>
    <t>I212</t>
  </si>
  <si>
    <t>I144</t>
  </si>
  <si>
    <t>S604</t>
  </si>
  <si>
    <t>S616</t>
  </si>
  <si>
    <t>S630</t>
  </si>
  <si>
    <t>S670</t>
  </si>
  <si>
    <t>S708</t>
  </si>
  <si>
    <t>Indicare il numero di contratti per prestazioni professionali consistenti nella resa di servizi o adempimenti obbligatori per legge.</t>
  </si>
  <si>
    <t>Indicare il totale delle somme trattenute ai dipendenti nell'anno di rilevazione per le assenze per malattia in applicazione dell'art. 71 del D.L. n. 112 del 25/06/2008 convertito in L. 133/2008.</t>
  </si>
  <si>
    <t>Quanti sono i dipendenti al 31.12 in aspettativa per dottorato di ricerca con retribuzione a carico dell'amministrazione ai sensi dell’articolo 2 della legge 476/1984 e s.m.?</t>
  </si>
  <si>
    <t>Indicare il numero delle unita rilevate in tabella 1 tra i "presenti al 31.12" che risultavano titolari di permessi per legge n. 104/92.</t>
  </si>
  <si>
    <t>Indicare il numero delle unita rilevate in tabella 1 tra i "presenti al 31.12" che risultavano titolari di permessi ai sensi dell'art. 42, c.5 D.lgs.151/2001.</t>
  </si>
  <si>
    <t>2F</t>
  </si>
  <si>
    <t>ME</t>
  </si>
  <si>
    <t>PR</t>
  </si>
  <si>
    <t>F76G</t>
  </si>
  <si>
    <t>F05H</t>
  </si>
  <si>
    <t>F06H</t>
  </si>
  <si>
    <t>F07H</t>
  </si>
  <si>
    <t>F08H</t>
  </si>
  <si>
    <t>F09H</t>
  </si>
  <si>
    <t>F50H</t>
  </si>
  <si>
    <t>F51H</t>
  </si>
  <si>
    <t>F54B</t>
  </si>
  <si>
    <t>F10H</t>
  </si>
  <si>
    <t>F15H</t>
  </si>
  <si>
    <t>F999</t>
  </si>
  <si>
    <t>U449</t>
  </si>
  <si>
    <t>U998</t>
  </si>
  <si>
    <t>1F</t>
  </si>
  <si>
    <t>F11H</t>
  </si>
  <si>
    <t>F12H</t>
  </si>
  <si>
    <t>F86G</t>
  </si>
  <si>
    <t>F13H</t>
  </si>
  <si>
    <t>F62B</t>
  </si>
  <si>
    <t>F63B</t>
  </si>
  <si>
    <t>F64B</t>
  </si>
  <si>
    <t>F65B</t>
  </si>
  <si>
    <t>F14H</t>
  </si>
  <si>
    <t>F57B</t>
  </si>
  <si>
    <t>F94G</t>
  </si>
  <si>
    <t>F19C</t>
  </si>
  <si>
    <t>F20C</t>
  </si>
  <si>
    <t>F22C</t>
  </si>
  <si>
    <t>F23C</t>
  </si>
  <si>
    <t>F90G</t>
  </si>
  <si>
    <t>F91G</t>
  </si>
  <si>
    <t>F92G</t>
  </si>
  <si>
    <t>F93G</t>
  </si>
  <si>
    <t>F18C</t>
  </si>
  <si>
    <t>U264</t>
  </si>
  <si>
    <t>U267</t>
  </si>
  <si>
    <t>U552</t>
  </si>
  <si>
    <t>U554</t>
  </si>
  <si>
    <t>U556</t>
  </si>
  <si>
    <t>F99G</t>
  </si>
  <si>
    <t>F01H</t>
  </si>
  <si>
    <t>F02H</t>
  </si>
  <si>
    <t>F03H</t>
  </si>
  <si>
    <t>F04C</t>
  </si>
  <si>
    <t>F04H</t>
  </si>
  <si>
    <t>F05C</t>
  </si>
  <si>
    <t>F06C</t>
  </si>
  <si>
    <t>F11C</t>
  </si>
  <si>
    <t>SOMME RIMBORSATE PER PERSONALE COMAND./FUORI RUOLO/IN CONV.</t>
  </si>
  <si>
    <t>P071</t>
  </si>
  <si>
    <t>T12 non compilata o assenze comunicate &gt; gg lavorabili (</t>
  </si>
  <si>
    <t>ONORARI AVVOCATI</t>
  </si>
  <si>
    <t>S750</t>
  </si>
  <si>
    <t>INDENNITA' ART.42, COMMA 5, D.LGS. 151/2001</t>
  </si>
  <si>
    <t>COMPETENZE PERSONALE COMANDATO/DISTACCATO PRESSO L'AMM.NE</t>
  </si>
  <si>
    <t>I424</t>
  </si>
  <si>
    <t>S761</t>
  </si>
  <si>
    <t>TOTALE del personale da distribuire</t>
  </si>
  <si>
    <t>REFERENTE DA CONTATTARE</t>
  </si>
  <si>
    <t>Domande SI_1</t>
  </si>
  <si>
    <t>Unità annue
dichiarate in SI_1</t>
  </si>
  <si>
    <t>Totale presenti al
31-12 dichiarati in T1</t>
  </si>
  <si>
    <t>Controllo</t>
  </si>
  <si>
    <t>Assenze dichiarate</t>
  </si>
  <si>
    <t xml:space="preserve">Compresenza </t>
  </si>
  <si>
    <t>VOCI DI SPESA RILEVATE</t>
  </si>
  <si>
    <t>IMPORTO SICO</t>
  </si>
  <si>
    <t>IMPORTO BILANCIO (*)</t>
  </si>
  <si>
    <t>TABELLA 12</t>
  </si>
  <si>
    <t>A999</t>
  </si>
  <si>
    <t>TABELLA 13</t>
  </si>
  <si>
    <t>###</t>
  </si>
  <si>
    <t>ASSEGNI NUCLEO FAMILIARE</t>
  </si>
  <si>
    <t>GESTIONE MENSE</t>
  </si>
  <si>
    <t xml:space="preserve">CONTRIBUTI A CARICO DELL'AMMINISTRAZIONE SU COMPETENZE FISSE ED ACCESSORIE </t>
  </si>
  <si>
    <t xml:space="preserve">IRAP </t>
  </si>
  <si>
    <t>SOMME RIMBORSATE ALLE AMMINISTRAZIONI PER SPESE DI PERSONALE (sommatoria dei diversi rimborsi presenti in tabella 14)</t>
  </si>
  <si>
    <t>P998</t>
  </si>
  <si>
    <t>TOTALE GENERALE</t>
  </si>
  <si>
    <t>RIMBORSI RICEVUTI  DALLE AMMINISTRAZIONI PER SPESE DI PERSONALE  (a riduzione) (sommatoria dei diversi rimborsi presenti in tabella 14)</t>
  </si>
  <si>
    <t>P999</t>
  </si>
  <si>
    <t>TOTALE GENERALE AL NETTO DEI RIMBORSI</t>
  </si>
  <si>
    <t>TRC</t>
  </si>
  <si>
    <t>IN 3</t>
  </si>
  <si>
    <t>NOTE: Elenco Istituzioni ed importi dei rimborsi effettuati (**)</t>
  </si>
  <si>
    <t>NOTE: Elenco Istituzioni ed importi dei rimborsi ricevuti (***)</t>
  </si>
  <si>
    <t>(**) campo riservato all'inserimento delle informazioni di dettaglio (nome Istituzione ed importo) riguardanti i rimborsi effettuati (P071, P074). Eventuali note su altre voci di spesa dovranno essere immesse nel campo "note e chiarimenti" della SI_1</t>
  </si>
  <si>
    <t>(***) campo riservato all'inserimento delle informazioni di dettaglio (nome Istituzione ed importo) riguardanti i rimborsi ricevuti (P090, P098, P099). Eventuali note su altre voci di spesa dovranno essere immesse nel campo "note e chiarimenti" della SI_1</t>
  </si>
  <si>
    <t>SOMME CORRISPOSTE AD AGENZIA DI SOMMINISTRAZIONE (INTERINALI)</t>
  </si>
  <si>
    <t>ONERI PER I CONTRATTI DI SOMMINISTRAZIONE (INTERINALI)</t>
  </si>
  <si>
    <t xml:space="preserve">RETRIBUZIONI PERSONALE A TEMPO DETERMINATO </t>
  </si>
  <si>
    <t>QUOTE ANNUE DI ACCANTONAMENTO  TFR O ALTRA INDENNITA'  FINE SERVIZIO</t>
  </si>
  <si>
    <t>COMPENSI PER PERSONALE ADDETTO A LAVORI SOCIALMENTE UTILI</t>
  </si>
  <si>
    <t>C21</t>
  </si>
  <si>
    <t>A35</t>
  </si>
  <si>
    <t>P035</t>
  </si>
  <si>
    <t>CONTRIBUTI A CARICO DELL'AMM.NE PER FONDI PREV. COMPLEMENTARE</t>
  </si>
  <si>
    <t>Si</t>
  </si>
  <si>
    <t>No</t>
  </si>
  <si>
    <r>
      <rPr>
        <b/>
        <sz val="7"/>
        <rFont val="Helv"/>
      </rPr>
      <t>IRAP</t>
    </r>
    <r>
      <rPr>
        <sz val="7"/>
        <rFont val="Helv"/>
      </rPr>
      <t xml:space="preserve">
</t>
    </r>
    <r>
      <rPr>
        <b/>
        <sz val="7"/>
        <rFont val="Helv"/>
      </rPr>
      <t>Commerciale</t>
    </r>
  </si>
  <si>
    <t>Coerenza T1 con personale T3 OUT</t>
  </si>
  <si>
    <t>Coerenza distribuzione territoriale</t>
  </si>
  <si>
    <t>a&gt;=(e+f+g+h+i)</t>
  </si>
  <si>
    <t>l&gt;=(p+q+r+s+t)</t>
  </si>
  <si>
    <t>sono presenti unità in T1 o personale esterno in T3, ma non assenze in T11</t>
  </si>
  <si>
    <t>ATTENZIONE:Per gli Enti che non sono tenuti all’invio della Tabella 10, la Tavola va considerata con riferimento al diagnostico della colonna “Coerenza T1 con personale T3 OUT”</t>
  </si>
  <si>
    <t>Totale Fondo posizione e risultato</t>
  </si>
  <si>
    <t>F96H</t>
  </si>
  <si>
    <t>Altri istituti non compresi fra i precedenti</t>
  </si>
  <si>
    <t>Indennità di specificità medica</t>
  </si>
  <si>
    <t>Specifico trattamento economico</t>
  </si>
  <si>
    <t>Totale Fondo Medici</t>
  </si>
  <si>
    <t>Indennità coordinamento</t>
  </si>
  <si>
    <t>Indennità professionisti legali</t>
  </si>
  <si>
    <t>Indennità altri professionisti</t>
  </si>
  <si>
    <t>Totale Fondo Professionisti</t>
  </si>
  <si>
    <t>Retribuzione di risultato</t>
  </si>
  <si>
    <t>IN 9</t>
  </si>
  <si>
    <t>Personale stabilizzato da LSU/LPU</t>
  </si>
  <si>
    <t>COMPENSI PER PERSONALE LSU/LPU</t>
  </si>
  <si>
    <t>NOTE E CHIARIMENTI ALLA RILEVAZIONE
(max 1500 caratteri)</t>
  </si>
  <si>
    <t xml:space="preserve">Tavola di congruenza tra il personale a Tempo Determinato comunicato in T2 con la ripartizione dello stesso personale comunicato in T2A
</t>
  </si>
  <si>
    <t>Totale T2</t>
  </si>
  <si>
    <t>Totale T2A</t>
  </si>
  <si>
    <t>Confronto T2/T2A</t>
  </si>
  <si>
    <t>U+D</t>
  </si>
  <si>
    <t>a con d</t>
  </si>
  <si>
    <t>b con e</t>
  </si>
  <si>
    <t>IN 10</t>
  </si>
  <si>
    <r>
      <t xml:space="preserve">COGNOME </t>
    </r>
    <r>
      <rPr>
        <b/>
        <sz val="12"/>
        <rFont val="Arial"/>
        <family val="2"/>
      </rPr>
      <t>*</t>
    </r>
  </si>
  <si>
    <r>
      <t xml:space="preserve">NOME </t>
    </r>
    <r>
      <rPr>
        <b/>
        <sz val="12"/>
        <rFont val="Arial"/>
        <family val="2"/>
      </rPr>
      <t>*</t>
    </r>
  </si>
  <si>
    <r>
      <t xml:space="preserve">E-Mail </t>
    </r>
    <r>
      <rPr>
        <b/>
        <sz val="12"/>
        <rFont val="Arial"/>
        <family val="2"/>
      </rPr>
      <t>*</t>
    </r>
  </si>
  <si>
    <r>
      <rPr>
        <sz val="8"/>
        <rFont val="Arial"/>
        <family val="2"/>
      </rPr>
      <t xml:space="preserve">TELEFONO </t>
    </r>
    <r>
      <rPr>
        <b/>
        <sz val="12"/>
        <rFont val="Arial"/>
        <family val="2"/>
      </rPr>
      <t>*</t>
    </r>
  </si>
  <si>
    <t>(sono evidenziate quelle valorizzate nella T1)</t>
  </si>
  <si>
    <t>(sono evidenziate le qualifiche valorizzate per l'anno)</t>
  </si>
  <si>
    <t>INDENNITA' PROFESSIONALI</t>
  </si>
  <si>
    <t>I426</t>
  </si>
  <si>
    <t>Risoluz. rapporto di lavoro</t>
  </si>
  <si>
    <t>Somme
dichiarate in SI_1</t>
  </si>
  <si>
    <t>F27I</t>
  </si>
  <si>
    <t xml:space="preserve">Retribuzione risultato professionisti legali </t>
  </si>
  <si>
    <t>U10I</t>
  </si>
  <si>
    <t xml:space="preserve">Retribuzione risultato altri professionisti </t>
  </si>
  <si>
    <t>U11I</t>
  </si>
  <si>
    <t>I418</t>
  </si>
  <si>
    <t>ASSEGNO AD PERSONAM</t>
  </si>
  <si>
    <t xml:space="preserve"> Incongruenza 1</t>
  </si>
  <si>
    <t>Tavola di compresenza tra valori di organico di personale con rapporto di lavoro flessibile di Scheda Informativa 1 e relativa spesa di Tabella 14</t>
  </si>
  <si>
    <t>Tipologia lavoro flessibile (SI_1)</t>
  </si>
  <si>
    <t>Unità annue 
(SI_1)</t>
  </si>
  <si>
    <t xml:space="preserve"> Incongruenza 11</t>
  </si>
  <si>
    <t>Tavola di compresenza tra valori di organico di personale con rapporto di lavoro flessibile di Tabella 2 e relativa spesa di Tabella 14</t>
  </si>
  <si>
    <t>Tipologia lavoro flessibile (Tab 2)</t>
  </si>
  <si>
    <t>Unità annue 
(Tab 2)</t>
  </si>
  <si>
    <t>Tavola di coerenza tra valori dichiarati in SI_1 come appartenenti a categorie protette, titolari di permessi per legge n. 104/92, titolari di permessi ai sensi dell'art. 42, comma 5 d.lgs. 151/2001, con il personale indicato in  Tab. 1</t>
  </si>
  <si>
    <t xml:space="preserve"> Incongruenza 12</t>
  </si>
  <si>
    <t xml:space="preserve">Tavola di compresenza tra valori dichiarati nella SI_1 come titolari di permessi per legge n. 104/92 e titolari di permessi ai sensi dell'art. 42, comma 5 d.lgs. 151/2001, con le giornate di assenza indicate in Tab. 11 </t>
  </si>
  <si>
    <t xml:space="preserve"> Incongruenza 13</t>
  </si>
  <si>
    <t>Tavola di compresenza tra le somme trattenute per malattia indicate nella SI_1 e i giorni di assenza per malattia retribuita indicati nella Tab. 11</t>
  </si>
  <si>
    <t>Tavola di congruenza tra i giorni di assenza indicati nella Tabella 11 e i valori di organico inseriti nelle Tabelle 1, 3, 4, 5 (incongruenza 7)</t>
  </si>
  <si>
    <t xml:space="preserve">Tavola di congruenza tra i giorni totali pro-capite di assenza (escluse assenze per formazione e quelle non retribuite) calcolati dai valori indicati nella Tabella 11, con il numero MAX dei gg lavorativi annui
</t>
  </si>
  <si>
    <t>Totale della Tabella T11 esclusa formazione e altre ass. non retribuite</t>
  </si>
  <si>
    <t>Mensilità/12</t>
  </si>
  <si>
    <t>Incongruenza 14</t>
  </si>
  <si>
    <t>IN 11</t>
  </si>
  <si>
    <t>IN 12</t>
  </si>
  <si>
    <t>IN 13</t>
  </si>
  <si>
    <t>IN 14</t>
  </si>
  <si>
    <t>IN 15</t>
  </si>
  <si>
    <t>IN 16</t>
  </si>
  <si>
    <t>SQ9</t>
  </si>
  <si>
    <t>SQUADRATURA 9</t>
  </si>
  <si>
    <t>Fondo retribuzione di posizione e risultato</t>
  </si>
  <si>
    <t>Risorse / Costituzione del fondo</t>
  </si>
  <si>
    <t>Impeghi / Importi erogati</t>
  </si>
  <si>
    <t>Risorse fisse aventi carattere di certezza e stabilità</t>
  </si>
  <si>
    <t>Fondo</t>
  </si>
  <si>
    <t>Natura</t>
  </si>
  <si>
    <t>Voce</t>
  </si>
  <si>
    <t>Dato</t>
  </si>
  <si>
    <t>INCONGRUENZA 15</t>
  </si>
  <si>
    <t>Fondo Area Medica</t>
  </si>
  <si>
    <t>Fondo Area dei Professionisti</t>
  </si>
  <si>
    <t>SCHEDA UNIFICATA EX ART. 40 BIS, COMMA 3 DEL D.LGS. N.165/2001:</t>
  </si>
  <si>
    <t>"SPECIFICHE INFORMAZIONI SULLA CONTRATTAZIONE INTEGRATIVA"</t>
  </si>
  <si>
    <t>INCONGRUENZA 16</t>
  </si>
  <si>
    <t>MACROCATEGORIA: DIRIGENTI DI II^ FASCIA</t>
  </si>
  <si>
    <t>Contatore</t>
  </si>
  <si>
    <t>GEN</t>
  </si>
  <si>
    <t>FONDO RELATIVO ALL'ANNO DI RILEVAZIONE / TEMPISTICA DELLA C.I.</t>
  </si>
  <si>
    <t>Cod_sez</t>
  </si>
  <si>
    <t>Cod_dom</t>
  </si>
  <si>
    <t>Tipo_dom</t>
  </si>
  <si>
    <t>FLAG</t>
  </si>
  <si>
    <t>DATE</t>
  </si>
  <si>
    <t>GEN195</t>
  </si>
  <si>
    <t>INT</t>
  </si>
  <si>
    <t>Annualità di ritardo nella certificazione del fondo/i contrattazione integrativa alla compilazione/rettifica della presente scheda (0=almeno costituzione fondo/i anno rilevazione certif.; 1=almeno costituzione fondo/i anno precedente certif. ecc.)</t>
  </si>
  <si>
    <t>LEG</t>
  </si>
  <si>
    <t>ORG</t>
  </si>
  <si>
    <t>ORGANIZZAZIONE E INCARICHI</t>
  </si>
  <si>
    <t>ORG189</t>
  </si>
  <si>
    <t>Numero complessivo di funzioni dirigenziali di II^ fascia previste nell'ordinamento</t>
  </si>
  <si>
    <t>ORG268</t>
  </si>
  <si>
    <t>Numero di posizioni dirigenziali effettivamente coperte alla data del 31.12 dell'anno di rilevazione per la fascia più elevata</t>
  </si>
  <si>
    <t>ORG269</t>
  </si>
  <si>
    <t>Numero di posizioni dirigenziali effettivamente coperte alla data del 31.12 dell'anno di rilevazione per la fascia meno elevata</t>
  </si>
  <si>
    <t>ORG270</t>
  </si>
  <si>
    <t>Numero di posizioni dirigenziali effettivamente coperte alla data del 31.12 dell'anno di rilevazione per le restanti fasce</t>
  </si>
  <si>
    <t>ORG136</t>
  </si>
  <si>
    <t>ORG179</t>
  </si>
  <si>
    <t>ORG161</t>
  </si>
  <si>
    <t>ORG271</t>
  </si>
  <si>
    <t>Numero di posizioni dirigenziali effettivamente coperte alla data del 31.12 dell'anno di rilevazione con incarico ad interim</t>
  </si>
  <si>
    <t>ORG272</t>
  </si>
  <si>
    <t>PRD</t>
  </si>
  <si>
    <t>PRD137</t>
  </si>
  <si>
    <t>PRD115</t>
  </si>
  <si>
    <t>INF</t>
  </si>
  <si>
    <t>INFORMAZIONI / CHIARIMENTI</t>
  </si>
  <si>
    <t>INF209</t>
  </si>
  <si>
    <t>Informazioni/chiarimenti da parte dell'Organo di controllo (max 1.500 caratteri)</t>
  </si>
  <si>
    <t>INF127</t>
  </si>
  <si>
    <t>Informazioni/chiarimenti da parte dell'Amministrazione (max 1.500 caratteri)</t>
  </si>
  <si>
    <t>MACROCATEGORIA: MEDICI</t>
  </si>
  <si>
    <t>ORG224</t>
  </si>
  <si>
    <t>ORG225</t>
  </si>
  <si>
    <t>ORG165</t>
  </si>
  <si>
    <t>ORG187</t>
  </si>
  <si>
    <t>MACROCATEGORIA: PROFESSIONISTI</t>
  </si>
  <si>
    <t>ORG129</t>
  </si>
  <si>
    <t>Numero di incarichi di coordinamento ai professionisti di II° livello differenziato al 31.12 dell'anno di rilevazione</t>
  </si>
  <si>
    <t>ORG148</t>
  </si>
  <si>
    <t>ORG200</t>
  </si>
  <si>
    <t>ORG186</t>
  </si>
  <si>
    <t>ORG180</t>
  </si>
  <si>
    <t>Numero di incarichi di coordinamento dei professionisti di I° livello differenziato al 31.12 dell'anno di rilevazione</t>
  </si>
  <si>
    <t>ORG122</t>
  </si>
  <si>
    <t>ORG141</t>
  </si>
  <si>
    <t>ORG197</t>
  </si>
  <si>
    <t>MACROCATEGORIA: PERSONALE NON DIRIGENTE</t>
  </si>
  <si>
    <t>PEO</t>
  </si>
  <si>
    <t>PEO188</t>
  </si>
  <si>
    <t>PEO119</t>
  </si>
  <si>
    <t>PEO133</t>
  </si>
  <si>
    <t>PRD287</t>
  </si>
  <si>
    <t>PRD134</t>
  </si>
  <si>
    <t>SICI</t>
  </si>
  <si>
    <t>PERSONALE IN ASPETTATIVA</t>
  </si>
  <si>
    <t>R.I.A.</t>
  </si>
  <si>
    <t>A031</t>
  </si>
  <si>
    <t xml:space="preserve">STIPENDIO 
più I.I.S </t>
  </si>
  <si>
    <t>Personale in aspettativa (OUT)
(Tab 3)</t>
  </si>
  <si>
    <t>Decurtazioni</t>
  </si>
  <si>
    <t>F02P</t>
  </si>
  <si>
    <t>F00P</t>
  </si>
  <si>
    <t>F01P</t>
  </si>
  <si>
    <t>Totale Decurtazioni</t>
  </si>
  <si>
    <t>INCONGRUENZA 9</t>
  </si>
  <si>
    <t>F02Z</t>
  </si>
  <si>
    <t>GEN353</t>
  </si>
  <si>
    <t>GEN354</t>
  </si>
  <si>
    <t>GEN355</t>
  </si>
  <si>
    <t>LSU/LPU/ASU(*)</t>
  </si>
  <si>
    <t>A41</t>
  </si>
  <si>
    <t>Art 76 c 2 Ccnl 16-18 - Unico importo consolidato 2017</t>
  </si>
  <si>
    <t>F05L</t>
  </si>
  <si>
    <t>F05M</t>
  </si>
  <si>
    <t>F05N</t>
  </si>
  <si>
    <t>F05O</t>
  </si>
  <si>
    <t>Art 2 c 3 DLgs 165/2001 - Risp. tratt. ec. pre-Ccnl 94-97</t>
  </si>
  <si>
    <t>F70A</t>
  </si>
  <si>
    <t>Art 43 L 449/1997 - Entr. conto terzi o utenza o sponsor.</t>
  </si>
  <si>
    <t>Art 43 L 449/1997 - Risparmi di gestione</t>
  </si>
  <si>
    <t>Art 16 cc 4-5-6 DL 98/11 - Risp. piani razionalizzazione</t>
  </si>
  <si>
    <t>F05R</t>
  </si>
  <si>
    <t>F05S</t>
  </si>
  <si>
    <t>F05T</t>
  </si>
  <si>
    <t>Art 1 c 189 L 266/05 - Dec. fondo rispetto limite 2004-10%</t>
  </si>
  <si>
    <t>Art 1 c 456 L 147/2013 - Decurtazione permanente</t>
  </si>
  <si>
    <t>Art 40 c 3-q DLgs 165/2001 - Dec. anno per piani di recup.</t>
  </si>
  <si>
    <t>F01S</t>
  </si>
  <si>
    <t>Fondo risorse decentrate</t>
  </si>
  <si>
    <t>Totale Fondo risorse decentrate</t>
  </si>
  <si>
    <t>U02L</t>
  </si>
  <si>
    <t>U02M</t>
  </si>
  <si>
    <t>U02N</t>
  </si>
  <si>
    <t>U02P</t>
  </si>
  <si>
    <t>U02Q</t>
  </si>
  <si>
    <t>U02R</t>
  </si>
  <si>
    <t>U02S</t>
  </si>
  <si>
    <t>U02T</t>
  </si>
  <si>
    <t>U22I</t>
  </si>
  <si>
    <t>RISPETTO DI SPECIFICI LIMITI DI LEGGE</t>
  </si>
  <si>
    <t>LEG362</t>
  </si>
  <si>
    <t>Importo del limite di cui all'art. 9, comma 28 del decreto legge n. 78/2010 riferito all'anno corrente (euro)</t>
  </si>
  <si>
    <t>LEG364</t>
  </si>
  <si>
    <t>Importo del limite di cui all'art. 9, comma 28 del decreto legge n. 78/2010 utilizzato ai fini delle assunzioni effettuate nell'anno corrente ai sensi dell'art. 20, comma 3 del Dlgs 75/2017 (stipendio, accessorio e O.R. a carico dell'amministrazione)</t>
  </si>
  <si>
    <t>PRD368</t>
  </si>
  <si>
    <t>Importo totale della performance individuale erogata a valere sul fondo dell'anno di rilevazione (euro)</t>
  </si>
  <si>
    <t>PRD369</t>
  </si>
  <si>
    <t>Importo totale della performance organizzativa erogata a valere sul fondo dell'anno di rilevazione (euro)</t>
  </si>
  <si>
    <t>PRD370</t>
  </si>
  <si>
    <t>Importo totale della performance (individuale e organizzativa) non erogata a seguito della valutazione non piena con riferimento al fondo dell'anno di rilevazione (euro)</t>
  </si>
  <si>
    <t>PRD396</t>
  </si>
  <si>
    <t>Fondo 2004 cert org contr. / parte fissa (art1 c189 L266/05)</t>
  </si>
  <si>
    <t>Incrementi Ccnl 06-09 (art. 39 c. 1)</t>
  </si>
  <si>
    <t>Incrementi Ccnl 08-09 (art. 10 c. 1)</t>
  </si>
  <si>
    <t>Ria pers. cessato base annua (art 86 c 4 p 1 Ccnl 94-97)</t>
  </si>
  <si>
    <t>Nuovi servizi/riorg/incr dot org (art. 1 c. 2 Ccnl 8.1.03)</t>
  </si>
  <si>
    <t>Ria pers. cess. rateo anno cess (art 86 c 4 p 2 Ccnl 94-97)</t>
  </si>
  <si>
    <t>Risparmi incentivazione (art. 42 c. 2 L. c Ccnl 98-01)</t>
  </si>
  <si>
    <t>Risparmi di gestione personale(art. 42 c. 2 L. b Ccnl 98-01)</t>
  </si>
  <si>
    <t>Nuovi servizi / riorganizzazione (art. 1 c 2 Ccnl 8.1.03)</t>
  </si>
  <si>
    <t>Incrementi Ccnl 04-05 (art. 14 c. 1 alinea 2 e 3)</t>
  </si>
  <si>
    <t>Incrementi Ccnl 06-07 (art. 40 c. 1)</t>
  </si>
  <si>
    <t>Incrementi Ccnl 08-09 (art. 11 c. 1)</t>
  </si>
  <si>
    <t>Ria personale cessato base annua (art14 cc 2-3 Ccnl 14.4.97)</t>
  </si>
  <si>
    <t>Nuovi servizi/riorg/incr dot org (art. 2 c. 2 Ccnl 08.01.03)</t>
  </si>
  <si>
    <t>Ria pers. cessato rateo anno cess (art14 cc2-3 Ccnl 14.4.97)</t>
  </si>
  <si>
    <t>Nuovi servizi / riorganizzazione (art. 2 c. 2 Ccnl 08.01.03)</t>
  </si>
  <si>
    <t>Risparmi di gestione personale(art. 43 c. 2 L. b Ccnl 98-01)</t>
  </si>
  <si>
    <t>Risparmi incentivazione (art. 43 c. 2 L. c Ccnl 98-01)</t>
  </si>
  <si>
    <t>Disp. legge/reg./atti amm. (art. 43 c. 2 L. e Ccnl 98-01)</t>
  </si>
  <si>
    <t>Art 23 c 2 DLgs 75/2017 - Dec. fondo rispetto limite 2016</t>
  </si>
  <si>
    <t>Incrementi Ccnl 04-05 (art. 7 c. 1 alinea 2 e 3)</t>
  </si>
  <si>
    <t>Incrementi Ccnl 06-09 (art. 21 c. 1)</t>
  </si>
  <si>
    <t>Incrementi Ccnl 08-09 (art. 7 c. 1)</t>
  </si>
  <si>
    <t>Ria personale cessato base annua (art59  c.4 p.1 Ccnl 02-05)</t>
  </si>
  <si>
    <t>Nuovi servizi/riorg/incr dot org  (art. 59 c. 9 Ccnl 02-05)</t>
  </si>
  <si>
    <t>Ria pers. cessato rateo anno cess (art59 c.4 p.2 Ccnl 02-05)</t>
  </si>
  <si>
    <t>Nuovi servizi / riorganizzazione (art. 59 c. 9 Ccnl 02-05)</t>
  </si>
  <si>
    <t>Ris. da terzi per incar. agg.vi (art 59 c 3 L. a Ccnl02-05)</t>
  </si>
  <si>
    <t>Magg. entr. o ec. gest. (art. 59 c. 3 L. d Ccnl 02-05)</t>
  </si>
  <si>
    <t>Ris. art. 3 c. 2 Ccnl 5.4.01 (art. 59 c. 3 L. e Ccnl 02-05)</t>
  </si>
  <si>
    <t>Ria personale cessato base annua (art52  c.4 p.1 Ccnl 02-05)</t>
  </si>
  <si>
    <t>Nuovi servizi/riorg/incr dot org  (art. 52 c. 7 Ccnl02-05)</t>
  </si>
  <si>
    <t>Nuovi servizi / riorganizzazione (art. 52 c. 7 Ccnl 02-05)</t>
  </si>
  <si>
    <t>Ris. da terzi per incar. agg.vi (art 52 c 3 L. a Ccnl 02-05)</t>
  </si>
  <si>
    <t>PERFORMANCE / RISULTATO</t>
  </si>
  <si>
    <t>Valore unitario su base annua della retribuzione di posizione previsto per la fascia più elevata (euro)</t>
  </si>
  <si>
    <t>Valore unitario su base annua della retribuzione di posizione previsto per le restanti fasce (valore medio in euro)</t>
  </si>
  <si>
    <t>Valore medio su base annua della retribuzione per gli incarichi dirigenziali ad interim (risultato in euro)</t>
  </si>
  <si>
    <t>Importo totale della retribuzione di risultato erogata a valere sul fondo dell'anno di rilevazione (euro)</t>
  </si>
  <si>
    <t>Importo totale della retribuzione di risultato non erogata a seguito della valutazione non piena con riferimento al fondo dell'anno di rilevazione (euro)</t>
  </si>
  <si>
    <t>Valore unitario della retribuzione di posizione più elevata del personale medico di I^ fascia (euro)</t>
  </si>
  <si>
    <t>Valore unitario della retribuzione di posizione meno elevata del personale medico di I^ fascia (euro)</t>
  </si>
  <si>
    <t>Valore unitario della retribuzione di posizione più elevata del personale medico di II^ fascia (euro)</t>
  </si>
  <si>
    <t>Valore unitario della retribuzione di posizione meno elevata del personale medico di II^ fascia (euro)</t>
  </si>
  <si>
    <t>Valore unitario dell'indennità di coordinamento previsto per la fascia più elevata dei professionisti di II° livello differenziato (euro)</t>
  </si>
  <si>
    <t>Valore medio dell'indennità di coordinamento dei professionisti di II° livello differenziato (euro)</t>
  </si>
  <si>
    <t>Valore unitario dell'indennità di coordinamento previsto per la fascia meno elevata dei professionisti di II° livello differenziato (euro)</t>
  </si>
  <si>
    <t>Valore unitario dell'indennità di coordinamento previsto per la fascia più elevata dei professionisti di I° livello differenziato (euro)</t>
  </si>
  <si>
    <t>Valore medio dell'indennità di coordinamento dei professionisti di I° livello differenziato (euro)</t>
  </si>
  <si>
    <t>Valore unitario dell'indennità di coordinamento previsto per la fascia meno elevata dei professionisti di I° livello differenziato (euro)</t>
  </si>
  <si>
    <t>Importo totale della retribuzione di risultato riferita ad incarichi di posizioni organizzative, alte professionalità ecc. erogato a valere sull'anno di rilevazione (euro)</t>
  </si>
  <si>
    <t>Importo totale della retribuzione di risultato relativo ad incarichi di posizioni organizzative, alte professionalità ecc. non erogato a seguito della valutazione non piena con riferimento all'anno di rilevazione (euro)</t>
  </si>
  <si>
    <t>Art 76 c 3 L b) Ccnl 16-18 - RIA pers cessato misura intera</t>
  </si>
  <si>
    <t>Art 76 c 3 L c) Ccnl 16-18 - Ind amm/ente pers cess non riut</t>
  </si>
  <si>
    <t>Art 76 c 3 L a) Ccnl 16-18 - Incremento da 1.1.18</t>
  </si>
  <si>
    <t>Art 76 c 4 L d) Ccnl 16-18 - RIA Ind amm/ente ces mens resid</t>
  </si>
  <si>
    <t>Art 76 c 4 L g) Ccnl 16-18 - Nuovi servizi / processi riorg</t>
  </si>
  <si>
    <t>Licenziamenti disposti dall’ente</t>
  </si>
  <si>
    <t>F10M</t>
  </si>
  <si>
    <t>F10N</t>
  </si>
  <si>
    <t>LEG398</t>
  </si>
  <si>
    <t>LEG406</t>
  </si>
  <si>
    <t>Risorse destinate ordinariamente alla remunerazione del lavoro straordinario per l'anno corrente (euro)</t>
  </si>
  <si>
    <t>IN 17</t>
  </si>
  <si>
    <t xml:space="preserve">Numero
Inc.
</t>
  </si>
  <si>
    <r>
      <rPr>
        <b/>
        <sz val="8"/>
        <color indexed="10"/>
        <rFont val="Arial"/>
        <family val="2"/>
      </rPr>
      <t xml:space="preserve">Incongruenza
17
</t>
    </r>
    <r>
      <rPr>
        <b/>
        <sz val="8"/>
        <rFont val="Arial"/>
        <family val="2"/>
      </rPr>
      <t xml:space="preserve">
Controllare RIA e Progressione per scatti</t>
    </r>
  </si>
  <si>
    <t>RIA</t>
  </si>
  <si>
    <t>Progressioni</t>
  </si>
  <si>
    <t>no</t>
  </si>
  <si>
    <t>si</t>
  </si>
  <si>
    <t>F11W</t>
  </si>
  <si>
    <t>F11V</t>
  </si>
  <si>
    <t>F11Y</t>
  </si>
  <si>
    <t>Incrementi Ccnl 16-18 (art. 51 c. 1)</t>
  </si>
  <si>
    <t>F11X</t>
  </si>
  <si>
    <t>Incrementi Ccnl 16-18 (art. 97 c. 1)</t>
  </si>
  <si>
    <t>F11Z</t>
  </si>
  <si>
    <t>Incrementi Ccnl 16-18 (art. 89 c. 1)</t>
  </si>
  <si>
    <t>F12J</t>
  </si>
  <si>
    <t>F12K</t>
  </si>
  <si>
    <t xml:space="preserve">Indicare il numero di dioendenti posti in esenzione dal servizio per emergenza COVID-19 </t>
  </si>
  <si>
    <t>numero giorni</t>
  </si>
  <si>
    <t xml:space="preserve">Indicare il numero dei giorni concessi ai dipendenti posti in esenzione dal servizio per emergenza COVID-19 </t>
  </si>
  <si>
    <t>Destinazioni erogate per prestazioni rese nell'anno di riferimento</t>
  </si>
  <si>
    <t>Totale Destinazioni erogate per prestazioni rese nell'anno di riferimento</t>
  </si>
  <si>
    <t>F16L</t>
  </si>
  <si>
    <t>Straordinario (bilancio)</t>
  </si>
  <si>
    <t>U06B</t>
  </si>
  <si>
    <t>Totale Straordinario (bilancio)</t>
  </si>
  <si>
    <t>Risorse a carico del Bilancio</t>
  </si>
  <si>
    <t>Art 30 Ccnl 98-01 - Ris straordinario ord stanziate bilancio</t>
  </si>
  <si>
    <t>F16K</t>
  </si>
  <si>
    <t>Totale Risorse a carico del Bilancio</t>
  </si>
  <si>
    <t>SQUADRATURA 5</t>
  </si>
  <si>
    <t>MACROCATEGORIA: DIRIGENTI DI I^ FASCIA</t>
  </si>
  <si>
    <t>GEN196</t>
  </si>
  <si>
    <t>Data di certificazione della costituzione del fondo/i specificamente riferita all'anno di rilevazione (art. 40-bis, c.1 del Dlgs 165/2001)</t>
  </si>
  <si>
    <t>LEG428</t>
  </si>
  <si>
    <t>Importo del limite 2016 riferito alla presente macrocategoria (euro)</t>
  </si>
  <si>
    <t>ORG431</t>
  </si>
  <si>
    <t>Numero complessivo di funzioni dirigenziali di I^ fascia previste nell'ordinamento</t>
  </si>
  <si>
    <t>Tavola di controllo del rispetto del limite 2016 di cui all'art. 23, comma 2 del decreto legislativo n. 75/2017</t>
  </si>
  <si>
    <t>SQUADRATURA 6</t>
  </si>
  <si>
    <t>Dirigenti di I^ Fascia</t>
  </si>
  <si>
    <t>Dirigenti di II^ Fascia</t>
  </si>
  <si>
    <t>Medici</t>
  </si>
  <si>
    <t>Professionisti</t>
  </si>
  <si>
    <t>Personale
non
dirigente</t>
  </si>
  <si>
    <t>Amministrazione nel suo complesso</t>
  </si>
  <si>
    <t>a.</t>
  </si>
  <si>
    <t>Totale risorse tabella 15</t>
  </si>
  <si>
    <t>b.</t>
  </si>
  <si>
    <r>
      <t>Totale voci non rilevanti ai fini della verifica del limite 2016</t>
    </r>
    <r>
      <rPr>
        <vertAlign val="superscript"/>
        <sz val="8"/>
        <color indexed="8"/>
        <rFont val="Arial"/>
        <family val="2"/>
      </rPr>
      <t xml:space="preserve"> (*)</t>
    </r>
  </si>
  <si>
    <t>c.</t>
  </si>
  <si>
    <t>Totale risorse soggette alla verifica del limite (a-b)</t>
  </si>
  <si>
    <t>d.</t>
  </si>
  <si>
    <r>
      <t>Limite 2016 di cui all'articolo 23, comma 2 del DLgs 75/2017</t>
    </r>
    <r>
      <rPr>
        <vertAlign val="superscript"/>
        <sz val="8"/>
        <color indexed="8"/>
        <rFont val="Arial"/>
        <family val="2"/>
      </rPr>
      <t xml:space="preserve"> (**)</t>
    </r>
  </si>
  <si>
    <t>e.</t>
  </si>
  <si>
    <r>
      <rPr>
        <vertAlign val="superscript"/>
        <sz val="8"/>
        <rFont val="Arial"/>
        <family val="2"/>
      </rPr>
      <t xml:space="preserve">(*) </t>
    </r>
    <r>
      <rPr>
        <sz val="8"/>
        <rFont val="Arial"/>
        <family val="2"/>
      </rPr>
      <t>Voce LEG398 della scheda SICI della corrispondente macro-categoria.</t>
    </r>
  </si>
  <si>
    <r>
      <rPr>
        <vertAlign val="superscript"/>
        <sz val="8"/>
        <rFont val="Arial"/>
        <family val="2"/>
      </rPr>
      <t xml:space="preserve">(**) </t>
    </r>
    <r>
      <rPr>
        <sz val="8"/>
        <rFont val="Arial"/>
        <family val="2"/>
      </rPr>
      <t>Voce</t>
    </r>
    <r>
      <rPr>
        <b/>
        <sz val="8"/>
        <color indexed="12"/>
        <rFont val="Arial"/>
        <family val="2"/>
      </rPr>
      <t xml:space="preserve"> </t>
    </r>
    <r>
      <rPr>
        <sz val="8"/>
        <color indexed="8"/>
        <rFont val="Arial"/>
        <family val="2"/>
      </rPr>
      <t>LEG428</t>
    </r>
    <r>
      <rPr>
        <sz val="8"/>
        <rFont val="Arial"/>
        <family val="2"/>
      </rPr>
      <t xml:space="preserve"> della scheda SICI della corrispondente macro-categoria.</t>
    </r>
  </si>
  <si>
    <t>Tavola di congruenza delle  voci non soggette alla verifica del limite 2016 di cui all'articolo 23,</t>
  </si>
  <si>
    <t>comma 2, del decreto legislativo n. 75/2017 (schede SICI e tabelle 15)</t>
  </si>
  <si>
    <t>Totale non soggetto a verifica scheda SICI (LEG398)</t>
  </si>
  <si>
    <t>Differenza (a - b)</t>
  </si>
  <si>
    <t>In caso di certificazione disgiunta: data di certificazione della sola costituzione del fondo/i specificamente riferita all'anno di rilevazione (art. 40-bis, c.1 del Dlgs 165/2001)</t>
  </si>
  <si>
    <t>In caso di certificazione disgiunta: data di certificazione del solo contratto integrativo economico specificamente riferito al fondo/i dell'anno di rilevazione, sulla base di certificazione costituzione fondo effettuata in precedenza (art. 40-bis, c.1 del Dlgs 165/2001)</t>
  </si>
  <si>
    <t>In caso di certificazione congiunta: data di certificazione tanto della costituzione del fondo che del contratto integrativo economico specificamente riferito al fondo/i dell'anno di rilevazione (art. 40-bis, c.1 del Dlgs 165/2001)</t>
  </si>
  <si>
    <t>RISORSE FISSE AVENTI CARATTERE DI CERTEZZA E STABILTA'</t>
  </si>
  <si>
    <t>RISORSE VARIABILI</t>
  </si>
  <si>
    <t>NO</t>
  </si>
  <si>
    <t>U06J</t>
  </si>
  <si>
    <t>Art 73 c 1 Ccnl 16-18 - Ridet per increm stip Ccnl</t>
  </si>
  <si>
    <t>Dimissioni con diritto a pensione</t>
  </si>
  <si>
    <t>SEGNALAZIONE - Nuovo controllo</t>
  </si>
  <si>
    <t>Retribuzione di posizione</t>
  </si>
  <si>
    <t>U448</t>
  </si>
  <si>
    <t>Altre risorse non comprese fra le precedenti</t>
  </si>
  <si>
    <t>F00O</t>
  </si>
  <si>
    <t>Risorse art. 18 L. 88/89</t>
  </si>
  <si>
    <t>F19S</t>
  </si>
  <si>
    <t>Altre decurtazioni non comprese fra le precedenti</t>
  </si>
  <si>
    <t>TOTALE GENERALE RISORSE</t>
  </si>
  <si>
    <t>TOTALE GENERALE IMPIEGHI EROGATI</t>
  </si>
  <si>
    <t>Indennità condizioni di lavoro</t>
  </si>
  <si>
    <t>Performance organizzativa</t>
  </si>
  <si>
    <t>Performance individuale</t>
  </si>
  <si>
    <t>Progressioni economiche anno di rifer.to</t>
  </si>
  <si>
    <t>Indennità posizioni organizzative</t>
  </si>
  <si>
    <t>Incentivi alla mobilità territoriale</t>
  </si>
  <si>
    <t>Welfare integrativo a carico del fondo</t>
  </si>
  <si>
    <t>Quota annuale TFR carico fondo</t>
  </si>
  <si>
    <t>x</t>
  </si>
  <si>
    <t>Totale risorse della tabella 15 (e, ove previste, anche della sezione LEG della scheda SICI) della presente macro-categoria non rilevanti ai fini della verifica del limite art. 23 c. 2 Dlgs 75/2017 (euro)</t>
  </si>
  <si>
    <t>Totale non soggetto a verifica Tabella 15/SICI (voci sotto elencate)</t>
  </si>
  <si>
    <t>Differenza % (a - b) / a x 100</t>
  </si>
  <si>
    <t>MACRO CATEGO RIA</t>
  </si>
  <si>
    <t>Tavola di congruenza della retribuzione di posizione esposta in tabella 13 (voce I207) con l'analoga voce esposta in tabella 15 e scheda SICI</t>
  </si>
  <si>
    <t>INCONGRUENZA 3</t>
  </si>
  <si>
    <t>Tabella 13 - Totale retribuzione di posizione e/o di incarico (senza 13ma)</t>
  </si>
  <si>
    <t>Tabella 13 - Totale retribuzione di posizione cod. I207 (senza 13ma)</t>
  </si>
  <si>
    <t>Tabella 13 - Totale retribuzione di posizione var. cod. I507 (senza 13ma)</t>
  </si>
  <si>
    <r>
      <t>Tabella 13 - Totale retribuzione di posizione (con 13ma)</t>
    </r>
    <r>
      <rPr>
        <vertAlign val="superscript"/>
        <sz val="8"/>
        <rFont val="Arial"/>
        <family val="2"/>
      </rPr>
      <t xml:space="preserve"> (*)</t>
    </r>
  </si>
  <si>
    <t>Tabella 15 - Codice retribuzione macrocategoria di riferimento</t>
  </si>
  <si>
    <t>Tabella 15 - Retribuzione di posizione di competenza dell'anno di rilevazione</t>
  </si>
  <si>
    <t>Differenza T15 - T13 in valore assoluto (c - b)</t>
  </si>
  <si>
    <t>Differenza T15 - T13 in % (d / b x 100)</t>
  </si>
  <si>
    <t>Scheda SICI - n. posizioni fascia più elevata</t>
  </si>
  <si>
    <t>Scheda SICI - valore medio annuo retribuzione di posizione fascia più elevata</t>
  </si>
  <si>
    <t>Scheda SICI - n. posizioni fascia meno elevata</t>
  </si>
  <si>
    <t>Scheda SICI - valore medio annuo retribuzione di posizione fascia meno elevata</t>
  </si>
  <si>
    <t>Scheda SICI - n. posizioni restanti fasce</t>
  </si>
  <si>
    <t>Scheda SICI - valore medio annuo retribuzione di posizione restanti fasce</t>
  </si>
  <si>
    <t>f.</t>
  </si>
  <si>
    <r>
      <t>Scheda SICI retribuzione totale</t>
    </r>
    <r>
      <rPr>
        <vertAlign val="superscript"/>
        <sz val="8"/>
        <rFont val="Arial"/>
        <family val="2"/>
      </rPr>
      <t xml:space="preserve"> (**)</t>
    </r>
  </si>
  <si>
    <t>g.</t>
  </si>
  <si>
    <t>Differenza SICI - T13 in valore assoluto (k - b)</t>
  </si>
  <si>
    <t>h.</t>
  </si>
  <si>
    <t>Differenza SICI - T13 in % (l / b x 100)</t>
  </si>
  <si>
    <r>
      <rPr>
        <vertAlign val="superscript"/>
        <sz val="8"/>
        <rFont val="Arial"/>
        <family val="2"/>
      </rPr>
      <t xml:space="preserve">(*) </t>
    </r>
    <r>
      <rPr>
        <sz val="8"/>
        <rFont val="Arial"/>
        <family val="2"/>
      </rPr>
      <t xml:space="preserve"> Il calcolo è effettuato dividendo convenzionalmente per 12 il valore della retribuzione di posizione esposto in tabella 13 (valore mensile) e moltiplicando quindi per 13 (valore annuale compresa tredicesima).</t>
    </r>
  </si>
  <si>
    <r>
      <rPr>
        <vertAlign val="superscript"/>
        <sz val="8"/>
        <rFont val="Arial"/>
        <family val="2"/>
      </rPr>
      <t xml:space="preserve">(**) </t>
    </r>
    <r>
      <rPr>
        <sz val="8"/>
        <rFont val="Arial"/>
        <family val="2"/>
      </rPr>
      <t xml:space="preserve"> Il calcolo è effettuato sommando il numero di posizioni di ciascuna "fascia" per il relativo valore medio.</t>
    </r>
  </si>
  <si>
    <t>Dirigenti di 1^ Fascia</t>
  </si>
  <si>
    <t>Dirigenti di 2^ Fascia</t>
  </si>
  <si>
    <t>Personale non Dirigente</t>
  </si>
  <si>
    <t>Tabella 13 - Totale indennità funzioni P.O. S616 (senza 13ma)</t>
  </si>
  <si>
    <t>Retribuzione di risultato (onnicomprensività)</t>
  </si>
  <si>
    <t>U02I</t>
  </si>
  <si>
    <t>Ria pers. cessato rateo anno prec(art 52 c.4 p.2 Ccnl 02-05)</t>
  </si>
  <si>
    <t>Numero di incarichi alla data del 31.12 dell'anno di rilevazione personale medico I^ fascia con retribuzione di posizione più elevata</t>
  </si>
  <si>
    <t>Numero di incarichi alla data del 31.12 dell'anno di rilevazione personale medico I^ fascia con retribuzione di posizione meno elevata</t>
  </si>
  <si>
    <t>Numero di incarichi alla data del 31.12 dell'anno di rilevazione personale medico I^ fascia con retribuzione di posizione intermedia</t>
  </si>
  <si>
    <t>Valore unitario su base annua della retribuzione di posizione previsto per il personale medico di I^ fascia con retribuzione di posizione intermedia (valore medio in euro)</t>
  </si>
  <si>
    <t>Numero di incarichi alla data del 31.12 dell'anno di rilevazione personale medico II^ fascia con retribuzione di posizione più elevata</t>
  </si>
  <si>
    <t>Numero di incarichi alla data del 31.12 dell'anno di rilevazione personale medico II^ fascia con retribuzione di posizione meno elevata</t>
  </si>
  <si>
    <t>Numero di incarichi alla data del 31.12 dell'anno di rilevazione personale medico II^ fascia con retribuzione di posizione intermedia</t>
  </si>
  <si>
    <t>Valore unitario su base annua della retribuzione di posizione previsto per il personale medico di II^ fascia con retribuzione di posizione intermedia (valore medio in euro)</t>
  </si>
  <si>
    <t>Prestazioni lavoro straordinario</t>
  </si>
  <si>
    <t>ORG443</t>
  </si>
  <si>
    <t>ORG444</t>
  </si>
  <si>
    <t>ORG445</t>
  </si>
  <si>
    <t>ORG446</t>
  </si>
  <si>
    <t>ORG447</t>
  </si>
  <si>
    <t>ORG448</t>
  </si>
  <si>
    <t>ORG449</t>
  </si>
  <si>
    <t>ORG450</t>
  </si>
  <si>
    <t>Scheda SICI - n. posizioni fascia più elevata medici I^ fascia</t>
  </si>
  <si>
    <t>Scheda SICI - valore medio annuo retribuzione di posizione fascia più elevata medici I^ fascia</t>
  </si>
  <si>
    <t>Scheda SICI - n. posizioni fascia meno elevata medici I^ fascia</t>
  </si>
  <si>
    <t>Scheda SICI - valore medio annuo retribuzione di posizione fascia meno elevata medici I^ fascia</t>
  </si>
  <si>
    <t>Scheda SICI - n. posizioni restanti fasce medici I^ fascia</t>
  </si>
  <si>
    <t>Scheda SICI - valore medio annuo retribuzione di posizione restanti fasce medici I^ fascia</t>
  </si>
  <si>
    <t>Scheda SICI - n. posizioni fascia più elevata medici II^ fascia</t>
  </si>
  <si>
    <t>Scheda SICI - valore medio annuo retribuzione di posizione fascia più elevata medici II^ fascia</t>
  </si>
  <si>
    <t>Scheda SICI - n. posizioni fascia meno elevata medici II^ fascia</t>
  </si>
  <si>
    <t>Scheda SICI - valore medio annuo retribuzione di posizione fascia meno elevata medici II^ fascia</t>
  </si>
  <si>
    <t>Scheda SICI - n. posizioni restanti fasce medici II^ fascia</t>
  </si>
  <si>
    <t>Scheda SICI - valore medio annuo retribuzione di posizione restanti fasce medici II^ fascia</t>
  </si>
  <si>
    <t>Art 9 c 3 DL 90/2014 - Comp Avvocati carico controparti</t>
  </si>
  <si>
    <t>Art 9 c 6 DL 90/2014 - Comp Avvocati spese compensate</t>
  </si>
  <si>
    <t>Art 11 c 1 L B DL 135/18 - Incr acc ass deroga fac ass.li</t>
  </si>
  <si>
    <t>ELEVATE PROFESSIONALITA'</t>
  </si>
  <si>
    <t>FUNZIONARI</t>
  </si>
  <si>
    <t>ASSISTENTI</t>
  </si>
  <si>
    <t>OPERATORI</t>
  </si>
  <si>
    <t>0EP981</t>
  </si>
  <si>
    <t>PERSONALE ELEVATE PROFESSIONALITA</t>
  </si>
  <si>
    <t>EP</t>
  </si>
  <si>
    <t>FU</t>
  </si>
  <si>
    <t>AT</t>
  </si>
  <si>
    <t>OP</t>
  </si>
  <si>
    <t>A033</t>
  </si>
  <si>
    <t>DIFFERENZIALE STIPENDIALE MATURATO</t>
  </si>
  <si>
    <r>
      <t xml:space="preserve">Costituzione fondi per il trattamento accessorio </t>
    </r>
    <r>
      <rPr>
        <vertAlign val="superscript"/>
        <sz val="10"/>
        <rFont val="Arial"/>
        <family val="2"/>
      </rPr>
      <t>(1)</t>
    </r>
  </si>
  <si>
    <r>
      <t>Destinazione fondi per il trattamento accessorio</t>
    </r>
    <r>
      <rPr>
        <sz val="10"/>
        <rFont val="Arial"/>
        <family val="2"/>
      </rPr>
      <t xml:space="preserve"> </t>
    </r>
    <r>
      <rPr>
        <vertAlign val="superscript"/>
        <sz val="10"/>
        <rFont val="Arial"/>
        <family val="2"/>
      </rPr>
      <t>(1)</t>
    </r>
  </si>
  <si>
    <t>SQUADRATURA 8</t>
  </si>
  <si>
    <r>
      <rPr>
        <vertAlign val="superscript"/>
        <sz val="8"/>
        <rFont val="Arial"/>
        <family val="2"/>
      </rPr>
      <t xml:space="preserve">(1) </t>
    </r>
    <r>
      <rPr>
        <sz val="8"/>
        <rFont val="Arial"/>
        <family val="2"/>
      </rPr>
      <t>Tutti gli importi vanno indicati in euro e al netto degli oneri sociali (contributi ed IRAP) a carico del datore di lavoro</t>
    </r>
  </si>
  <si>
    <r>
      <rPr>
        <vertAlign val="superscript"/>
        <sz val="8"/>
        <rFont val="Arial"/>
        <family val="2"/>
      </rPr>
      <t xml:space="preserve">(2) </t>
    </r>
    <r>
      <rPr>
        <sz val="8"/>
        <rFont val="Arial"/>
        <family val="2"/>
      </rPr>
      <t>Escluse le poste identificate in voci specifiche separate.</t>
    </r>
  </si>
  <si>
    <t>Differenziali stipendiali in essere non disponibili alla CI</t>
  </si>
  <si>
    <t>U20S</t>
  </si>
  <si>
    <t>Art 49 c 2 Ccnl 19-21 - Ris diff stip preced carico bilancio</t>
  </si>
  <si>
    <t>F20S</t>
  </si>
  <si>
    <t>F20T</t>
  </si>
  <si>
    <t>Performance nuovi modelli organizzativi (lavoro agile)</t>
  </si>
  <si>
    <t>U07H</t>
  </si>
  <si>
    <t>Specifiche responsabilità</t>
  </si>
  <si>
    <t>U00L</t>
  </si>
  <si>
    <r>
      <t xml:space="preserve">Art 11 c 1 L B DL 135/18 - Incr acc ass deroga fac ass.li </t>
    </r>
    <r>
      <rPr>
        <vertAlign val="superscript"/>
        <sz val="8"/>
        <rFont val="Arial"/>
        <family val="2"/>
      </rPr>
      <t>(2)</t>
    </r>
  </si>
  <si>
    <t>F20U</t>
  </si>
  <si>
    <t>F20Z</t>
  </si>
  <si>
    <r>
      <rPr>
        <vertAlign val="superscript"/>
        <sz val="8"/>
        <rFont val="Arial"/>
        <family val="2"/>
      </rPr>
      <t xml:space="preserve">(3) </t>
    </r>
    <r>
      <rPr>
        <sz val="8"/>
        <rFont val="Arial"/>
        <family val="2"/>
      </rPr>
      <t>Escluse le poste identificate in voci specifiche separate.</t>
    </r>
  </si>
  <si>
    <t xml:space="preserve">Valore unitario su base annua della retribuzione di posizione previsto per la fascia meno elevata (euro) </t>
  </si>
  <si>
    <t>GEN474</t>
  </si>
  <si>
    <t>Livelli di contrattazione (solo per le amministrazioni con due livelli di contrattazione) - Totale delle risorse destinate alla contrattazione integrativa nazionale nell'anno di rilevazione (art. 7, comma 2, CCNL 9 maggio 2022, euro)</t>
  </si>
  <si>
    <t>GEN475</t>
  </si>
  <si>
    <t>Livelli di contrattazione (solo per le amministrazioni con due livelli di contrattazione) - Totale a livello nazionale delle risorse destinate alla contrattazione integrativa di sede unica nell'anno di rilevazione (art. 7, comma 2, CCNL 9 maggio 2022, euro)</t>
  </si>
  <si>
    <t>ORG460</t>
  </si>
  <si>
    <t>Numero incarichi elevate professionalità ex art. 16 Ccnl 2019-21 in essere al 31.12 dell'anno di rilevazione</t>
  </si>
  <si>
    <t>ORG461</t>
  </si>
  <si>
    <t>Valore unitario medio su base annua della retribuzione di posizione (art. 16, c. 6 Ccnl 2019-21) degli incarichi di elevata professionalità in essere al 31.12 dell'anno di rilevazione (euro)</t>
  </si>
  <si>
    <t>ORG462</t>
  </si>
  <si>
    <t>ORG463</t>
  </si>
  <si>
    <t>ORG464</t>
  </si>
  <si>
    <t>Numero dipendenti cui è attribuita l'indennità di specifiche responsabilità ex art. 54 Ccnl 2019-21 al 31.12 dell'anno di rilevazione</t>
  </si>
  <si>
    <t>ORG465</t>
  </si>
  <si>
    <t>Valore unitario medio su base annua dell'indennità di specifiche responsabilità ex art. 54 Ccnl 2019-21 in essere al 31.21.dell'anno di rilevazione (euro)</t>
  </si>
  <si>
    <t>PEO473</t>
  </si>
  <si>
    <t>PRD455</t>
  </si>
  <si>
    <t>Differenziazione del premio individuale - La contrattazione integrativa ha preventivamente definito la limitata quota massima di personale valutato cui attribuire la maggiorazione del premio individuale (S/N)?</t>
  </si>
  <si>
    <t>PRD456</t>
  </si>
  <si>
    <t>PRD457</t>
  </si>
  <si>
    <t>WLF</t>
  </si>
  <si>
    <t>WELFARE INTEGRATIVO</t>
  </si>
  <si>
    <t>WLF466</t>
  </si>
  <si>
    <t>Disponibilità anno di rilevazione per la concessione di benefici di welfare al netto degli eventuali utilizzi del fondo per la contrattazione integrativa (euro)</t>
  </si>
  <si>
    <t>WLF467</t>
  </si>
  <si>
    <t>WLF468</t>
  </si>
  <si>
    <t>WLF469</t>
  </si>
  <si>
    <t>WLF470</t>
  </si>
  <si>
    <t>WLF471</t>
  </si>
  <si>
    <t>Welfare integrativo anno di rilevazione - Iniziative di sostegno al reddito della famiglia effettivamente erogate (euro)</t>
  </si>
  <si>
    <t>Welfare integrativo anno di rilevazione - Supporto all'istruzione e promozione del merito dei figli effettivamente erogate (euro)</t>
  </si>
  <si>
    <t>Welfare integrativo anno di rilevazione - Contributi a favore di attività culturali, ricreative e con finalità sociale effettivamente erogate (euro)</t>
  </si>
  <si>
    <t>Welfare integrativo anno di rilevazione - Prestiti a favore di dipendenti in difficoltà effettivamente erogate (euro)</t>
  </si>
  <si>
    <t>Welfare integrativo anno di rilevazione - Polizze sanitarie integrative effettivamente erogate (euro)</t>
  </si>
  <si>
    <t>Codice
Cat</t>
  </si>
  <si>
    <t>Famiglia Professionale (max 200 caratteri)</t>
  </si>
  <si>
    <t>ELEVATE PROFESSIONALITÀ</t>
  </si>
  <si>
    <t>Personale soggetto a reperibilità (**)</t>
  </si>
  <si>
    <t>Personale soggetto a turnazione (**)</t>
  </si>
  <si>
    <t>Coworking (**)</t>
  </si>
  <si>
    <t>Telelavoro (**)</t>
  </si>
  <si>
    <t>Lavoro Agile (**)</t>
  </si>
  <si>
    <t>Coworking (**)
Personale indicato in T1</t>
  </si>
  <si>
    <t>Telelavoro (**)
Personale indicato in T1</t>
  </si>
  <si>
    <t>Smart working (**)
Personale indicato in T1</t>
  </si>
  <si>
    <t>Il personale a Tempo determinato è cessato il 31/12?</t>
  </si>
  <si>
    <t>Z02</t>
  </si>
  <si>
    <t>LAVORO A DISTANZA</t>
  </si>
  <si>
    <t>LVORO A DISTANZA</t>
  </si>
  <si>
    <t>Personale stabilizzato ex Art. 35, c.3-Bis, DLGS 165/01</t>
  </si>
  <si>
    <t>Personale stabilizzato ex art. 20 D.Lgs.75/2017</t>
  </si>
  <si>
    <t>Dimissioni senza diritto a pensione</t>
  </si>
  <si>
    <t>C28</t>
  </si>
  <si>
    <t>TFAM</t>
  </si>
  <si>
    <t>Quante persone sono state assunte nell’anno a tempo determinato con le risorse del PNRR?</t>
  </si>
  <si>
    <t>Quante persone sono state assunte nell’anno con altre forme flessibili di lavoro (ex interinali, LSU, formazione lavoro) con le risorse del PNRR?</t>
  </si>
  <si>
    <t>N U M E R O   DI   D I P E N D E N T I</t>
  </si>
  <si>
    <t>con trattamento economico iniziale</t>
  </si>
  <si>
    <t>con 1 differenziale stipendiale</t>
  </si>
  <si>
    <t>con 2 differenziale stipendiale</t>
  </si>
  <si>
    <t>con 3 differenziale stipendiale</t>
  </si>
  <si>
    <t>con 4 differenziale stipendiale</t>
  </si>
  <si>
    <t>con 5 differenziale stipendiale</t>
  </si>
  <si>
    <t>TOTALE
(Presenti al 31/12/2021)</t>
  </si>
  <si>
    <t>senza differenziali stipendiali</t>
  </si>
  <si>
    <t>Controllo con T1</t>
  </si>
  <si>
    <t>CONTRATTISTI</t>
  </si>
  <si>
    <t>0FZ000</t>
  </si>
  <si>
    <t>0AS000</t>
  </si>
  <si>
    <t>0OP000</t>
  </si>
  <si>
    <t>N. di dipendenti a cui nel corso dell'anno è stato attribuito un nuovo differenziale stipendiale:</t>
  </si>
  <si>
    <t>53439,57</t>
  </si>
  <si>
    <t>41779,17</t>
  </si>
  <si>
    <t>43685,17</t>
  </si>
  <si>
    <t>34854,28</t>
  </si>
  <si>
    <t>32712,36</t>
  </si>
  <si>
    <t>24952,36</t>
  </si>
  <si>
    <t>37461,94</t>
  </si>
  <si>
    <t>27816,63</t>
  </si>
  <si>
    <t>32307,69</t>
  </si>
  <si>
    <t>23501,93</t>
  </si>
  <si>
    <t>19351,97</t>
  </si>
  <si>
    <t>18390,84</t>
  </si>
  <si>
    <t xml:space="preserve">PROGRESSIONI CLASSI E SCATTI/FASCE/DIFFERENZIALI STIPENDIALI  </t>
  </si>
  <si>
    <t>A034</t>
  </si>
  <si>
    <t xml:space="preserve">CONTRATTI DI COLLABORAZIONE PROFESSIONALE </t>
  </si>
  <si>
    <t xml:space="preserve">INCARICHI DI STUDIO/RICERCA/CONSULENZA </t>
  </si>
  <si>
    <t>L111</t>
  </si>
  <si>
    <t>L112</t>
  </si>
  <si>
    <t>Indicare il numero dei contratti di collaborazioni professionali.</t>
  </si>
  <si>
    <t>Quante persone sono state impiegate nell'anno (TEMPO DETER.,COLLABORAZIONI PROFESSIONALI, INCARICHI O ALTRI TIPI DI LAV. FLESSIBILE) il cui costo è totalmente sostenutocon finanziamenti esterni dellU.E. o di privati?</t>
  </si>
  <si>
    <t>Con quante persone sono stati sottoscritti contratti di collaborazioni professionali e incarichi nell’anno con le risorse del PNRR?</t>
  </si>
  <si>
    <t>Personale con contratti di collaborazioni professionali</t>
  </si>
  <si>
    <t>44121,1</t>
  </si>
  <si>
    <t>n.</t>
  </si>
  <si>
    <t>con 6 differenziali stipendiali</t>
  </si>
  <si>
    <t>con 7 differenziali stipendiali</t>
  </si>
  <si>
    <t>1E</t>
  </si>
  <si>
    <t>Indicare il numero degli incarichi di studio, ricerca e consulenza.</t>
  </si>
  <si>
    <t>Art 4 c 1 alinea 2 e 3 Ccnl 04-05 - Incrementi</t>
  </si>
  <si>
    <t>Art 18 c 1 Ccnl 06-09 - Incrementi</t>
  </si>
  <si>
    <t>Art 4 c 1 Ccnl 08-09 - Incrementi</t>
  </si>
  <si>
    <t>Art 48 c 1 Ccnl 16-18 - Incrementi</t>
  </si>
  <si>
    <t>F27J</t>
  </si>
  <si>
    <r>
      <t xml:space="preserve">Spec. disp. di legge o reg.ti (art. 48 c. 3 p. 2 Ccnl 16-18) </t>
    </r>
    <r>
      <rPr>
        <vertAlign val="superscript"/>
        <sz val="8"/>
        <rFont val="Arial"/>
        <family val="2"/>
      </rPr>
      <t>(3)</t>
    </r>
  </si>
  <si>
    <t>Art 1 c 604 L 234/2021 - Increm 0,22% m.s. 2018 dal 1.1.2022</t>
  </si>
  <si>
    <t>F24T</t>
  </si>
  <si>
    <t>Somme non utilizzate fondo/i anno precedente</t>
  </si>
  <si>
    <r>
      <rPr>
        <vertAlign val="superscript"/>
        <sz val="8"/>
        <rFont val="Arial"/>
        <family val="2"/>
      </rPr>
      <t xml:space="preserve">(2) </t>
    </r>
    <r>
      <rPr>
        <sz val="8"/>
        <rFont val="Arial"/>
        <family val="2"/>
      </rPr>
      <t>Tale incremento ricomprende gli incrementi di cui al comma 1 del medesimo articolo.</t>
    </r>
  </si>
  <si>
    <t>F27L</t>
  </si>
  <si>
    <r>
      <t xml:space="preserve">Spec. disp. di legge o reg.ti (art. 51 c. 3 p. 2 Ccnl 16-18) </t>
    </r>
    <r>
      <rPr>
        <vertAlign val="superscript"/>
        <sz val="8"/>
        <rFont val="Arial"/>
        <family val="2"/>
      </rPr>
      <t>(3)</t>
    </r>
  </si>
  <si>
    <t>F27P</t>
  </si>
  <si>
    <r>
      <rPr>
        <vertAlign val="superscript"/>
        <sz val="8"/>
        <rFont val="Arial"/>
        <family val="2"/>
      </rPr>
      <t xml:space="preserve">(2) </t>
    </r>
    <r>
      <rPr>
        <sz val="8"/>
        <rFont val="Arial"/>
        <family val="2"/>
      </rPr>
      <t>Tale incremento ricomprende gli incrementi di cui al comma 1 del medesimo articolo</t>
    </r>
  </si>
  <si>
    <t>Art 12 c 1 al 2 Ccnl 04-05 - 0,80% m.s. 2003</t>
  </si>
  <si>
    <t>F27Q</t>
  </si>
  <si>
    <t>Art 49 c 3 Ccnl 19-21 - Increm (in % m.s. 2018, tab D Ccnl)</t>
  </si>
  <si>
    <t>Incentivi funzioni tecniche</t>
  </si>
  <si>
    <t>F24O</t>
  </si>
  <si>
    <t>F24P</t>
  </si>
  <si>
    <t>Art 11 c 1 L B DL 135/18 - Incr acc ass TD deroga fac ass.li</t>
  </si>
  <si>
    <t>F26U</t>
  </si>
  <si>
    <r>
      <t>Art 76 c 4 L c) Ccnl 16-18 - Altre spec. disp. di legge</t>
    </r>
    <r>
      <rPr>
        <vertAlign val="superscript"/>
        <sz val="8"/>
        <rFont val="Arial"/>
        <family val="2"/>
      </rPr>
      <t xml:space="preserve"> (5)</t>
    </r>
  </si>
  <si>
    <r>
      <t>Art 49 c 7 Ccnl 19-21 - Risparmi straordinario anno rif.to</t>
    </r>
    <r>
      <rPr>
        <vertAlign val="superscript"/>
        <sz val="8"/>
        <rFont val="Arial"/>
        <family val="2"/>
      </rPr>
      <t xml:space="preserve"> (6)</t>
    </r>
  </si>
  <si>
    <r>
      <t>Art 49 c 7 Ccnl 19-21 - Risp straord non utiliz anno corr.</t>
    </r>
    <r>
      <rPr>
        <vertAlign val="superscript"/>
        <sz val="8"/>
        <rFont val="Arial"/>
        <family val="2"/>
      </rPr>
      <t xml:space="preserve"> (6)</t>
    </r>
  </si>
  <si>
    <r>
      <rPr>
        <vertAlign val="superscript"/>
        <sz val="8"/>
        <rFont val="Arial"/>
        <family val="2"/>
      </rPr>
      <t xml:space="preserve">(2) </t>
    </r>
    <r>
      <rPr>
        <sz val="8"/>
        <rFont val="Arial"/>
        <family val="2"/>
      </rPr>
      <t>Nota bene: gli incrementi della retribuzione accessoria, in deroga al limite 2016, per le assunzioni a t.d. ai sensi dell’art. 1 del DL n. 80/2021 per l’attuazione di progetti PNRR, vanno indicati nelle risorse variabili alla voce F24O.</t>
    </r>
  </si>
  <si>
    <r>
      <rPr>
        <vertAlign val="superscript"/>
        <sz val="8"/>
        <rFont val="Arial"/>
        <family val="2"/>
      </rPr>
      <t xml:space="preserve">(3) </t>
    </r>
    <r>
      <rPr>
        <sz val="8"/>
        <rFont val="Arial"/>
        <family val="2"/>
      </rPr>
      <t>Indicare l’incremento della retribuzione accessoria, in deroga al limite 2016, per assunzioni a t.d. effettuate ai sensi dell’art.1 del DL n. 80/2021, il cui costo è incluso nel quadro economico del progetto con relativo rimborso a carico</t>
    </r>
  </si>
  <si>
    <t xml:space="preserve">    delle risorse del PNRR.</t>
  </si>
  <si>
    <r>
      <rPr>
        <vertAlign val="superscript"/>
        <sz val="8"/>
        <rFont val="Arial"/>
        <family val="2"/>
      </rPr>
      <t xml:space="preserve">(4) </t>
    </r>
    <r>
      <rPr>
        <sz val="8"/>
        <rFont val="Arial"/>
        <family val="2"/>
      </rPr>
      <t>Ricomprendere in questa voce anche gli incentivi ex art. 113 del DLgs n. 50/2016 di competenza dell’anno di rilevazione.</t>
    </r>
  </si>
  <si>
    <r>
      <rPr>
        <vertAlign val="superscript"/>
        <sz val="8"/>
        <rFont val="Arial"/>
        <family val="2"/>
      </rPr>
      <t xml:space="preserve">(5) </t>
    </r>
    <r>
      <rPr>
        <sz val="8"/>
        <rFont val="Arial"/>
        <family val="2"/>
      </rPr>
      <t>Escluse le poste identificate in voci specifiche separate.</t>
    </r>
  </si>
  <si>
    <r>
      <rPr>
        <vertAlign val="superscript"/>
        <sz val="8"/>
        <rFont val="Arial"/>
        <family val="2"/>
      </rPr>
      <t>(6)</t>
    </r>
    <r>
      <rPr>
        <sz val="8"/>
        <rFont val="Arial"/>
        <family val="2"/>
      </rPr>
      <t xml:space="preserve"> Secondo le indicazioni dell'articolo 49, comma 7 del Ccnl 9 maggio 2022, l'eventuale quota di straordinario non utilizzata nell'anno confluisce nel fondo dell'anno di riferimento, non determinando pertanto, in quanto giroconto</t>
    </r>
  </si>
  <si>
    <t xml:space="preserve">    a saldo neutrale, incrementi soggetti a verifica del limite 2016. Ai fini del corretto funzionamento delle verifiche del limite, risulta quindi necessario decurtare le risorse destinate allo straordinario del medesimo importo (voce F20Z).</t>
  </si>
  <si>
    <t>PRD480</t>
  </si>
  <si>
    <t>Differenziazione della retribuzione di risultato - La contrattazione integrativa ha preventivamente definito la limitata quota massima di personale valutato cui attribuire la maggiorazione (S/N)?</t>
  </si>
  <si>
    <t>PRD481</t>
  </si>
  <si>
    <t>Differenziazione della retribuzione di risultato - Numero dipendenti ai quali è stata erogata la maggiorazione con riferimento a prestazioni rese nell'anno di rilevazione (unità)</t>
  </si>
  <si>
    <t>PRD482</t>
  </si>
  <si>
    <t>Differenziazione della retribuzione di risultato - Valore medio individuale della maggiorazione erogata con riferimento a prestazioni rese nell'anno di rilevazione (euro)</t>
  </si>
  <si>
    <r>
      <t xml:space="preserve">Valore unitario medio su base annua dell'indennità di posizione organizzativa e/o professionale riferita agli incarichi ex art. 15 Ccnl 2019-21 in essere al 31.12 dell'anno di rilevazione (euro) </t>
    </r>
    <r>
      <rPr>
        <vertAlign val="superscript"/>
        <sz val="12"/>
        <color rgb="FF0000CC"/>
        <rFont val="Arial"/>
        <family val="2"/>
      </rPr>
      <t>(1)</t>
    </r>
  </si>
  <si>
    <t>PROGRESSIONI ECONOMICHE ALL'INTERNO DELLE AREE A VALERE SUL FONDO DELL'ANNO DI RILEVAZIONE</t>
  </si>
  <si>
    <t>PEO484</t>
  </si>
  <si>
    <t>Numero di anni senza aver beneficiato di progressione economica previsto quale requisito di partecipazione alla procedura selettiva riferita all'anno di rilevazione</t>
  </si>
  <si>
    <t>PEO483</t>
  </si>
  <si>
    <t>Numero dipendenti che hanno i requisiti per partecipare alle progressioni economiche all'interno delle aree a valere sul fondo dell'anno di rilevazione</t>
  </si>
  <si>
    <t>Numero totale delle progressioni economiche all'interno delle aree effettuate a valere sul fondo dell'anno di rilevazione</t>
  </si>
  <si>
    <t>Le progressioni economiche all'interno delle aree dell'anno di rilevazione sono riferite ad un numero limitato di dipendenti (massimo 50% degli aventi diritto) ed operate con carattere di selettività ex art. 23 c. 2 del DLgs 150/2009 (S/N)?</t>
  </si>
  <si>
    <t>Le progressioni economiche all'interno delle aree riferite all'anno di rilevazione hanno rispettato le indicazioni di non retrodatazione oltre il 1 gennaio dell'anno di perfezionamento del contratto integrativo (S/N)?</t>
  </si>
  <si>
    <t>Importo delle risorse destinate alle progressioni economiche all'interno delle aree contrattate e certificate a valere sul fondo dell'anno di rilevazione (euro)</t>
  </si>
  <si>
    <t>L'ente ha rispettato l'indicazione del Ccnl di destinare almeno il 30% di specifiche risorse variabili del fondo dell'anno di rilevazione a performance Individuale (S/N)?</t>
  </si>
  <si>
    <t>Differenziazione del premio individuale - Numero dipendenti ai quali è stata erogata la maggiorazione per le prestazioni rese nell'anno di riferimento (unità)</t>
  </si>
  <si>
    <t>Differenziazione del premio individuale - Valore medio individuale della maggiorazione erogata con riferimento a prestazioni rese nell'anno di rilevazione (euro)</t>
  </si>
  <si>
    <t>Scheda SICI - numero di pos.ni org.ve in essere alla data del 31.12 dell'anno di rilevazione</t>
  </si>
  <si>
    <t>Scheda SICI - valore medio annuo retribuzione di posizione</t>
  </si>
  <si>
    <t>Art 1 DL 80/2021 - Increm. ass TD finanz diretto PNRR</t>
  </si>
  <si>
    <t>Art. 45 DLgs 36/2023 - Incentivi alle funzioni tecniche</t>
  </si>
  <si>
    <t>SQ 5</t>
  </si>
  <si>
    <t>SQ 6</t>
  </si>
  <si>
    <t>SQ 8</t>
  </si>
  <si>
    <t>SQ 9</t>
  </si>
  <si>
    <t>SQ 10</t>
  </si>
  <si>
    <r>
      <t>Art 29 c 2 Ccnl 19-21 - 2,75% m.s. 2018</t>
    </r>
    <r>
      <rPr>
        <vertAlign val="superscript"/>
        <sz val="8"/>
        <rFont val="Arial"/>
        <family val="2"/>
      </rPr>
      <t xml:space="preserve"> (2)</t>
    </r>
  </si>
  <si>
    <r>
      <t>Art 32 c 2 Ccnl 19-21 - 2,57% m.s. 2018</t>
    </r>
    <r>
      <rPr>
        <vertAlign val="superscript"/>
        <sz val="8"/>
        <rFont val="Arial"/>
        <family val="2"/>
      </rPr>
      <t xml:space="preserve"> (2)</t>
    </r>
  </si>
  <si>
    <r>
      <t>Art 61 c 2 Ccnl 19-21 - 2,06% m.s. 2018</t>
    </r>
    <r>
      <rPr>
        <vertAlign val="superscript"/>
        <sz val="8"/>
        <rFont val="Arial"/>
        <family val="2"/>
      </rPr>
      <t xml:space="preserve"> (2)</t>
    </r>
  </si>
  <si>
    <r>
      <t>Art 54 c 2 Ccnl 19-21 - 2,23% m.s. 2018</t>
    </r>
    <r>
      <rPr>
        <vertAlign val="superscript"/>
        <sz val="8"/>
        <rFont val="Arial"/>
        <family val="2"/>
      </rPr>
      <t xml:space="preserve"> (2)</t>
    </r>
  </si>
  <si>
    <r>
      <t xml:space="preserve">Spec. disp. di legge (art. 42 c. 2 L. e Ccnl 98-01) </t>
    </r>
    <r>
      <rPr>
        <vertAlign val="superscript"/>
        <sz val="8"/>
        <rFont val="Arial"/>
        <family val="2"/>
      </rPr>
      <t>(3)</t>
    </r>
  </si>
  <si>
    <r>
      <t>Art 1 DL 80/2021 - Increm. ass TD finanz diretto PNRR</t>
    </r>
    <r>
      <rPr>
        <vertAlign val="superscript"/>
        <sz val="8"/>
        <rFont val="Arial"/>
        <family val="2"/>
      </rPr>
      <t xml:space="preserve"> (3)</t>
    </r>
  </si>
  <si>
    <r>
      <t xml:space="preserve">Art. 45 DLgs 36/2023 - Incentivi alle funzioni tecniche </t>
    </r>
    <r>
      <rPr>
        <vertAlign val="superscript"/>
        <sz val="8"/>
        <rFont val="Arial"/>
        <family val="2"/>
      </rPr>
      <t>(4)</t>
    </r>
  </si>
  <si>
    <r>
      <rPr>
        <vertAlign val="superscript"/>
        <sz val="10"/>
        <rFont val="Arial"/>
        <family val="2"/>
      </rPr>
      <t>(1)</t>
    </r>
    <r>
      <rPr>
        <sz val="10"/>
        <rFont val="Arial"/>
        <family val="2"/>
      </rPr>
      <t xml:space="preserve"> Indicare anche gli incarichi di posizione organizzativa per i quali non risulta ancora applicata la discilina di cui all'art. 15 del CCNL 2019-21</t>
    </r>
  </si>
  <si>
    <r>
      <t xml:space="preserve">Numero incarichi di posizione organizzativa e/o professionale ex art. 15 Ccnl 2019-21 in essere al 31.12 dell'anno di rilevazione </t>
    </r>
    <r>
      <rPr>
        <vertAlign val="superscript"/>
        <sz val="12"/>
        <rFont val="Arial"/>
        <family val="2"/>
      </rPr>
      <t>(1)</t>
    </r>
  </si>
  <si>
    <t>Art 29 c 2 Ccnl 19-21 - 2,75% m.s. 2018</t>
  </si>
  <si>
    <t>Art 32 c 2 Ccnl 19-21 - 2,57% m.s. 2018</t>
  </si>
  <si>
    <t>Art 61 c 2 Ccnl 19-21 - 2,06% m.s. 2018</t>
  </si>
  <si>
    <t>Art 54 c 2 Ccnl 19-21 - 2,23% m.s. 2018</t>
  </si>
  <si>
    <t>SQUADRATURA 10</t>
  </si>
  <si>
    <t>XX</t>
  </si>
  <si>
    <t>S711</t>
  </si>
  <si>
    <t>INDENNITA' DI SPECIFICHE RESPONSABILITA'</t>
  </si>
  <si>
    <t>qualifica / posiz.economica / profilo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</si>
</sst>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1" formatCode="_-* #,##0_-;\-* #,##0_-;_-* &quot;-&quot;_-;_-@_-"/>
    <numFmt numFmtId="164" formatCode="General_)"/>
    <numFmt numFmtId="165" formatCode="_-&quot;L.&quot;\ * #,##0_-;\-&quot;L.&quot;\ * #,##0_-;_-&quot;L.&quot;\ * &quot;-&quot;_-;_-@_-"/>
    <numFmt numFmtId="166" formatCode="[$€]\ #,##0;[Red]\-[$€]\ #,##0"/>
    <numFmt numFmtId="167" formatCode=";;;"/>
    <numFmt numFmtId="168" formatCode="#,###"/>
    <numFmt numFmtId="169" formatCode="#,##0;\-#,##0;&quot; &quot;"/>
    <numFmt numFmtId="170" formatCode="#,##0.00;\-#,##0.00;&quot; &quot;"/>
    <numFmt numFmtId="171" formatCode="#,###.00;\-#,###.00;;"/>
    <numFmt numFmtId="172" formatCode="#,##0;\-\ #,##0;\-"/>
    <numFmt numFmtId="173" formatCode="#,##0.0;\-\ #,##0.0;\-"/>
    <numFmt numFmtId="174" formatCode="#,##0.00;\-\ #,##0.00;\-"/>
  </numFmts>
  <fonts count="172" x14ac:knownFonts="1">
    <font>
      <sz val="8"/>
      <name val="Helv"/>
    </font>
    <font>
      <sz val="10"/>
      <name val="MS Sans Serif"/>
      <family val="2"/>
    </font>
    <font>
      <b/>
      <sz val="12"/>
      <name val="Arial"/>
      <family val="2"/>
    </font>
    <font>
      <sz val="8"/>
      <name val="Arial"/>
      <family val="2"/>
    </font>
    <font>
      <sz val="9"/>
      <name val="Arial"/>
      <family val="2"/>
    </font>
    <font>
      <b/>
      <sz val="10"/>
      <name val="Arial"/>
      <family val="2"/>
    </font>
    <font>
      <b/>
      <sz val="8"/>
      <name val="Arial"/>
      <family val="2"/>
    </font>
    <font>
      <b/>
      <sz val="18"/>
      <name val="Times New Roman"/>
      <family val="1"/>
    </font>
    <font>
      <u/>
      <sz val="6.4"/>
      <color indexed="12"/>
      <name val="Helv"/>
    </font>
    <font>
      <sz val="11"/>
      <name val="Arial"/>
      <family val="2"/>
    </font>
    <font>
      <b/>
      <i/>
      <sz val="8"/>
      <name val="Arial"/>
      <family val="2"/>
    </font>
    <font>
      <i/>
      <sz val="8"/>
      <name val="Arial"/>
      <family val="2"/>
    </font>
    <font>
      <sz val="8"/>
      <name val="MS Serif"/>
      <family val="1"/>
    </font>
    <font>
      <b/>
      <sz val="8"/>
      <name val="Arial"/>
      <family val="2"/>
    </font>
    <font>
      <sz val="8"/>
      <name val="Arial"/>
      <family val="2"/>
    </font>
    <font>
      <sz val="10"/>
      <name val="Arial"/>
      <family val="2"/>
    </font>
    <font>
      <b/>
      <sz val="6"/>
      <name val="Arial"/>
      <family val="2"/>
    </font>
    <font>
      <b/>
      <sz val="6"/>
      <name val="Arial"/>
      <family val="2"/>
    </font>
    <font>
      <sz val="7"/>
      <name val="MS Serif"/>
      <family val="1"/>
    </font>
    <font>
      <sz val="9"/>
      <name val="Arial"/>
      <family val="2"/>
    </font>
    <font>
      <sz val="6"/>
      <name val="MS Serif"/>
      <family val="1"/>
    </font>
    <font>
      <b/>
      <sz val="7"/>
      <name val="Arial"/>
      <family val="2"/>
    </font>
    <font>
      <b/>
      <sz val="10"/>
      <name val="Arial"/>
      <family val="2"/>
    </font>
    <font>
      <b/>
      <sz val="11"/>
      <name val="Arial"/>
      <family val="2"/>
    </font>
    <font>
      <sz val="10"/>
      <name val="Arial"/>
      <family val="2"/>
    </font>
    <font>
      <sz val="7"/>
      <name val="Arial"/>
      <family val="2"/>
    </font>
    <font>
      <sz val="12"/>
      <name val="Arial"/>
      <family val="2"/>
    </font>
    <font>
      <b/>
      <sz val="12"/>
      <name val="Arial"/>
      <family val="2"/>
    </font>
    <font>
      <b/>
      <sz val="9"/>
      <name val="Arial"/>
      <family val="2"/>
    </font>
    <font>
      <sz val="7"/>
      <name val="Arial"/>
      <family val="2"/>
    </font>
    <font>
      <sz val="8"/>
      <name val="Helv"/>
    </font>
    <font>
      <b/>
      <sz val="8"/>
      <name val="Helv"/>
    </font>
    <font>
      <b/>
      <sz val="6"/>
      <name val="MS Serif"/>
      <family val="1"/>
    </font>
    <font>
      <i/>
      <sz val="9"/>
      <name val="Arial"/>
      <family val="2"/>
    </font>
    <font>
      <sz val="8"/>
      <color indexed="10"/>
      <name val="Arial"/>
      <family val="2"/>
    </font>
    <font>
      <b/>
      <sz val="8"/>
      <color indexed="10"/>
      <name val="Arial"/>
      <family val="2"/>
    </font>
    <font>
      <i/>
      <sz val="8"/>
      <name val="Helv"/>
    </font>
    <font>
      <b/>
      <i/>
      <sz val="12"/>
      <name val="Arial"/>
      <family val="2"/>
    </font>
    <font>
      <b/>
      <i/>
      <sz val="12"/>
      <name val="Helv"/>
    </font>
    <font>
      <sz val="6"/>
      <name val="MS Serif"/>
      <family val="1"/>
    </font>
    <font>
      <b/>
      <i/>
      <sz val="11"/>
      <name val="Arial"/>
      <family val="2"/>
    </font>
    <font>
      <sz val="10"/>
      <name val="Courier"/>
      <family val="3"/>
    </font>
    <font>
      <sz val="15"/>
      <name val="Times New Roman"/>
      <family val="1"/>
    </font>
    <font>
      <sz val="15"/>
      <name val="Arial"/>
      <family val="2"/>
    </font>
    <font>
      <b/>
      <sz val="15"/>
      <name val="Arial"/>
      <family val="2"/>
    </font>
    <font>
      <sz val="14"/>
      <name val="Arial"/>
      <family val="2"/>
    </font>
    <font>
      <sz val="8"/>
      <name val="Times New Roman"/>
      <family val="1"/>
    </font>
    <font>
      <sz val="7.5"/>
      <name val="Arial"/>
      <family val="2"/>
    </font>
    <font>
      <sz val="8"/>
      <name val="Courier"/>
      <family val="3"/>
    </font>
    <font>
      <sz val="10"/>
      <color indexed="10"/>
      <name val="Arial"/>
      <family val="2"/>
    </font>
    <font>
      <i/>
      <sz val="8"/>
      <name val="Arial"/>
      <family val="2"/>
    </font>
    <font>
      <b/>
      <sz val="10"/>
      <name val="Times New Roman"/>
      <family val="1"/>
    </font>
    <font>
      <sz val="7"/>
      <name val="MS Serif"/>
      <family val="1"/>
    </font>
    <font>
      <sz val="12"/>
      <name val="Courier"/>
      <family val="3"/>
    </font>
    <font>
      <b/>
      <sz val="8"/>
      <color indexed="9"/>
      <name val="Helv"/>
    </font>
    <font>
      <sz val="8"/>
      <color indexed="9"/>
      <name val="Helv"/>
    </font>
    <font>
      <sz val="8"/>
      <name val="Helv"/>
    </font>
    <font>
      <b/>
      <sz val="16"/>
      <name val="Arial"/>
      <family val="2"/>
    </font>
    <font>
      <sz val="8.5"/>
      <name val="MS Serif"/>
      <family val="1"/>
    </font>
    <font>
      <b/>
      <sz val="12"/>
      <color indexed="10"/>
      <name val="Arial"/>
      <family val="2"/>
    </font>
    <font>
      <sz val="12"/>
      <name val="Times New Roman"/>
      <family val="1"/>
    </font>
    <font>
      <b/>
      <sz val="9"/>
      <color indexed="10"/>
      <name val="Courier"/>
      <family val="3"/>
    </font>
    <font>
      <b/>
      <i/>
      <sz val="9"/>
      <color indexed="48"/>
      <name val="Courier"/>
      <family val="3"/>
    </font>
    <font>
      <u/>
      <sz val="6.4"/>
      <color indexed="12"/>
      <name val="Arial"/>
      <family val="2"/>
    </font>
    <font>
      <sz val="10"/>
      <color indexed="10"/>
      <name val="Courier"/>
      <family val="3"/>
    </font>
    <font>
      <b/>
      <sz val="10"/>
      <color indexed="10"/>
      <name val="Arial"/>
      <family val="2"/>
    </font>
    <font>
      <b/>
      <sz val="14"/>
      <color indexed="10"/>
      <name val="Arial"/>
      <family val="2"/>
    </font>
    <font>
      <b/>
      <sz val="8"/>
      <color indexed="10"/>
      <name val="Courier"/>
      <family val="3"/>
    </font>
    <font>
      <b/>
      <i/>
      <sz val="13"/>
      <color indexed="8"/>
      <name val="Arial"/>
      <family val="2"/>
    </font>
    <font>
      <b/>
      <sz val="13"/>
      <color indexed="10"/>
      <name val="Arial"/>
      <family val="2"/>
    </font>
    <font>
      <b/>
      <i/>
      <sz val="9"/>
      <name val="Arial"/>
      <family val="2"/>
    </font>
    <font>
      <sz val="8"/>
      <name val="Trebuchet MS"/>
      <family val="2"/>
    </font>
    <font>
      <sz val="8"/>
      <color indexed="8"/>
      <name val="Trebuchet MS"/>
      <family val="2"/>
    </font>
    <font>
      <sz val="8"/>
      <color indexed="9"/>
      <name val="Trebuchet MS"/>
      <family val="2"/>
    </font>
    <font>
      <b/>
      <sz val="8"/>
      <color indexed="52"/>
      <name val="Trebuchet MS"/>
      <family val="2"/>
    </font>
    <font>
      <sz val="8"/>
      <color indexed="52"/>
      <name val="Trebuchet MS"/>
      <family val="2"/>
    </font>
    <font>
      <b/>
      <sz val="8"/>
      <color indexed="9"/>
      <name val="Trebuchet MS"/>
      <family val="2"/>
    </font>
    <font>
      <sz val="8"/>
      <color indexed="62"/>
      <name val="Trebuchet MS"/>
      <family val="2"/>
    </font>
    <font>
      <sz val="8"/>
      <color indexed="60"/>
      <name val="Trebuchet MS"/>
      <family val="2"/>
    </font>
    <font>
      <b/>
      <sz val="8"/>
      <color indexed="63"/>
      <name val="Trebuchet MS"/>
      <family val="2"/>
    </font>
    <font>
      <sz val="10"/>
      <name val="MS Sans Serif"/>
      <family val="2"/>
    </font>
    <font>
      <sz val="8"/>
      <color indexed="10"/>
      <name val="Trebuchet MS"/>
      <family val="2"/>
    </font>
    <font>
      <i/>
      <sz val="8"/>
      <color indexed="23"/>
      <name val="Trebuchet MS"/>
      <family val="2"/>
    </font>
    <font>
      <b/>
      <sz val="18"/>
      <color indexed="56"/>
      <name val="Cambria"/>
      <family val="2"/>
    </font>
    <font>
      <b/>
      <sz val="15"/>
      <color indexed="56"/>
      <name val="Trebuchet MS"/>
      <family val="2"/>
    </font>
    <font>
      <b/>
      <sz val="13"/>
      <color indexed="56"/>
      <name val="Trebuchet MS"/>
      <family val="2"/>
    </font>
    <font>
      <b/>
      <sz val="11"/>
      <color indexed="56"/>
      <name val="Trebuchet MS"/>
      <family val="2"/>
    </font>
    <font>
      <b/>
      <sz val="8"/>
      <color indexed="8"/>
      <name val="Trebuchet MS"/>
      <family val="2"/>
    </font>
    <font>
      <sz val="8"/>
      <color indexed="20"/>
      <name val="Trebuchet MS"/>
      <family val="2"/>
    </font>
    <font>
      <sz val="8"/>
      <color indexed="17"/>
      <name val="Trebuchet MS"/>
      <family val="2"/>
    </font>
    <font>
      <b/>
      <sz val="18"/>
      <color indexed="8"/>
      <name val="Arial"/>
      <family val="2"/>
    </font>
    <font>
      <sz val="11"/>
      <color indexed="10"/>
      <name val="Arial"/>
      <family val="2"/>
    </font>
    <font>
      <b/>
      <sz val="10"/>
      <color indexed="8"/>
      <name val="Arial"/>
      <family val="2"/>
    </font>
    <font>
      <sz val="7"/>
      <name val="Small Fonts"/>
      <family val="2"/>
    </font>
    <font>
      <sz val="7"/>
      <color indexed="30"/>
      <name val="Arial"/>
      <family val="2"/>
    </font>
    <font>
      <sz val="8"/>
      <color indexed="30"/>
      <name val="Arial"/>
      <family val="2"/>
    </font>
    <font>
      <b/>
      <sz val="11"/>
      <color indexed="8"/>
      <name val="Arial"/>
      <family val="2"/>
    </font>
    <font>
      <b/>
      <sz val="6"/>
      <color indexed="8"/>
      <name val="Arial"/>
      <family val="2"/>
    </font>
    <font>
      <i/>
      <sz val="10"/>
      <name val="Arial"/>
      <family val="2"/>
    </font>
    <font>
      <b/>
      <sz val="10"/>
      <color indexed="10"/>
      <name val="Arial"/>
      <family val="2"/>
    </font>
    <font>
      <b/>
      <sz val="9"/>
      <color indexed="48"/>
      <name val="Courier"/>
      <family val="3"/>
    </font>
    <font>
      <u/>
      <sz val="8"/>
      <name val="Helv"/>
    </font>
    <font>
      <u/>
      <sz val="10"/>
      <color indexed="12"/>
      <name val="Arial"/>
      <family val="2"/>
    </font>
    <font>
      <b/>
      <sz val="7"/>
      <name val="Helv"/>
    </font>
    <font>
      <sz val="7"/>
      <name val="Helv"/>
    </font>
    <font>
      <i/>
      <sz val="10"/>
      <name val="MS Serif"/>
      <family val="1"/>
    </font>
    <font>
      <sz val="8"/>
      <name val="Comic Sans MS"/>
      <family val="4"/>
    </font>
    <font>
      <u/>
      <sz val="12"/>
      <name val="Arial"/>
      <family val="2"/>
    </font>
    <font>
      <u/>
      <sz val="13"/>
      <name val="Arial"/>
      <family val="2"/>
    </font>
    <font>
      <u/>
      <sz val="11"/>
      <name val="Arial"/>
      <family val="2"/>
    </font>
    <font>
      <vertAlign val="superscript"/>
      <sz val="8"/>
      <name val="Arial"/>
      <family val="2"/>
    </font>
    <font>
      <vertAlign val="superscript"/>
      <sz val="10"/>
      <name val="Arial"/>
      <family val="2"/>
    </font>
    <font>
      <b/>
      <sz val="18"/>
      <name val="Arial"/>
      <family val="2"/>
    </font>
    <font>
      <b/>
      <sz val="14"/>
      <name val="Arial"/>
      <family val="2"/>
    </font>
    <font>
      <sz val="10"/>
      <color indexed="8"/>
      <name val="Arial"/>
      <family val="2"/>
    </font>
    <font>
      <sz val="8"/>
      <color indexed="8"/>
      <name val="Arial"/>
      <family val="2"/>
    </font>
    <font>
      <b/>
      <i/>
      <sz val="10"/>
      <name val="Arial"/>
      <family val="2"/>
    </font>
    <font>
      <vertAlign val="superscript"/>
      <sz val="8"/>
      <color indexed="8"/>
      <name val="Arial"/>
      <family val="2"/>
    </font>
    <font>
      <b/>
      <sz val="8"/>
      <color indexed="12"/>
      <name val="Arial"/>
      <family val="2"/>
    </font>
    <font>
      <sz val="16"/>
      <name val="Arial"/>
      <family val="2"/>
    </font>
    <font>
      <sz val="12"/>
      <color theme="1"/>
      <name val="Times New Roman"/>
      <family val="2"/>
    </font>
    <font>
      <sz val="11"/>
      <color theme="1"/>
      <name val="Calibri"/>
      <family val="2"/>
      <scheme val="minor"/>
    </font>
    <font>
      <sz val="12"/>
      <color theme="1"/>
      <name val="Calibri"/>
      <family val="2"/>
      <scheme val="minor"/>
    </font>
    <font>
      <b/>
      <sz val="8"/>
      <color rgb="FFFF0000"/>
      <name val="Helv"/>
    </font>
    <font>
      <b/>
      <sz val="12"/>
      <color theme="0"/>
      <name val="Arial"/>
      <family val="2"/>
    </font>
    <font>
      <sz val="8"/>
      <color rgb="FFFF0000"/>
      <name val="Arial"/>
      <family val="2"/>
    </font>
    <font>
      <b/>
      <sz val="10"/>
      <color rgb="FFFF0000"/>
      <name val="Arial"/>
      <family val="2"/>
    </font>
    <font>
      <b/>
      <sz val="8"/>
      <color theme="1"/>
      <name val="Arial"/>
      <family val="2"/>
    </font>
    <font>
      <sz val="12"/>
      <color theme="1"/>
      <name val="Arial"/>
      <family val="2"/>
    </font>
    <font>
      <sz val="10"/>
      <color theme="1"/>
      <name val="Arial"/>
      <family val="2"/>
    </font>
    <font>
      <sz val="11"/>
      <color theme="1"/>
      <name val="Arial"/>
      <family val="2"/>
    </font>
    <font>
      <sz val="9"/>
      <color theme="1"/>
      <name val="Arial"/>
      <family val="2"/>
    </font>
    <font>
      <sz val="8"/>
      <color theme="1"/>
      <name val="Arial"/>
      <family val="2"/>
    </font>
    <font>
      <b/>
      <sz val="12"/>
      <color theme="1"/>
      <name val="Arial"/>
      <family val="2"/>
    </font>
    <font>
      <b/>
      <sz val="10"/>
      <color theme="1"/>
      <name val="Courier"/>
      <family val="3"/>
    </font>
    <font>
      <i/>
      <sz val="10"/>
      <color theme="1"/>
      <name val="Arial"/>
      <family val="2"/>
    </font>
    <font>
      <b/>
      <sz val="9"/>
      <color theme="1"/>
      <name val="Arial"/>
      <family val="2"/>
    </font>
    <font>
      <b/>
      <sz val="12"/>
      <color rgb="FFFF0000"/>
      <name val="Arial"/>
      <family val="2"/>
    </font>
    <font>
      <sz val="10"/>
      <color rgb="FFFF0000"/>
      <name val="Arial"/>
      <family val="2"/>
    </font>
    <font>
      <sz val="10"/>
      <color theme="1"/>
      <name val="Courier"/>
      <family val="3"/>
    </font>
    <font>
      <b/>
      <sz val="9"/>
      <color rgb="FFFF0000"/>
      <name val="Arial"/>
      <family val="2"/>
    </font>
    <font>
      <sz val="12"/>
      <color rgb="FF000099"/>
      <name val="Arial"/>
      <family val="2"/>
    </font>
    <font>
      <sz val="10"/>
      <color theme="0"/>
      <name val="Courier"/>
      <family val="3"/>
    </font>
    <font>
      <sz val="11"/>
      <color rgb="FFFF0000"/>
      <name val="Arial"/>
      <family val="2"/>
    </font>
    <font>
      <b/>
      <sz val="6"/>
      <color rgb="FFFF0000"/>
      <name val="MS Serif"/>
      <family val="1"/>
    </font>
    <font>
      <b/>
      <sz val="12"/>
      <color rgb="FF000099"/>
      <name val="Arial"/>
      <family val="2"/>
    </font>
    <font>
      <sz val="8"/>
      <color theme="0"/>
      <name val="Helv"/>
    </font>
    <font>
      <sz val="10"/>
      <color theme="0"/>
      <name val="Arial"/>
      <family val="2"/>
    </font>
    <font>
      <sz val="12"/>
      <color rgb="FF0000CC"/>
      <name val="Arial"/>
      <family val="2"/>
    </font>
    <font>
      <b/>
      <sz val="11"/>
      <color rgb="FFFF0000"/>
      <name val="Arial"/>
      <family val="2"/>
    </font>
    <font>
      <sz val="18"/>
      <color theme="1"/>
      <name val="Arial"/>
      <family val="2"/>
    </font>
    <font>
      <sz val="16"/>
      <color theme="1"/>
      <name val="Arial"/>
      <family val="2"/>
    </font>
    <font>
      <b/>
      <u/>
      <sz val="13"/>
      <color rgb="FFFF0000"/>
      <name val="Arial"/>
      <family val="2"/>
    </font>
    <font>
      <sz val="9"/>
      <color rgb="FF0000CC"/>
      <name val="Arial"/>
      <family val="2"/>
    </font>
    <font>
      <b/>
      <sz val="12"/>
      <color rgb="FF0000CC"/>
      <name val="Arial"/>
      <family val="2"/>
    </font>
    <font>
      <sz val="12"/>
      <color rgb="FFFF0000"/>
      <name val="Arial"/>
      <family val="2"/>
    </font>
    <font>
      <sz val="10"/>
      <color rgb="FF0000CC"/>
      <name val="Arial"/>
      <family val="2"/>
    </font>
    <font>
      <b/>
      <i/>
      <sz val="12"/>
      <color theme="1"/>
      <name val="Arial"/>
      <family val="2"/>
    </font>
    <font>
      <sz val="8"/>
      <color theme="0"/>
      <name val="Arial"/>
      <family val="2"/>
    </font>
    <font>
      <b/>
      <u/>
      <sz val="12"/>
      <color rgb="FFFF0000"/>
      <name val="Arial"/>
      <family val="2"/>
    </font>
    <font>
      <b/>
      <sz val="10"/>
      <color rgb="FFFF0000"/>
      <name val="Helv"/>
    </font>
    <font>
      <b/>
      <sz val="18"/>
      <color rgb="FFFF0000"/>
      <name val="Times New Roman"/>
      <family val="1"/>
    </font>
    <font>
      <sz val="8"/>
      <color rgb="FFFF0000"/>
      <name val="Helv"/>
    </font>
    <font>
      <vertAlign val="superscript"/>
      <sz val="12"/>
      <color rgb="FF0000CC"/>
      <name val="Arial"/>
      <family val="2"/>
    </font>
    <font>
      <sz val="10"/>
      <color rgb="FFFF0000"/>
      <name val="Courier"/>
      <family val="3"/>
    </font>
    <font>
      <sz val="10"/>
      <color theme="0" tint="-4.9989318521683403E-2"/>
      <name val="Courier"/>
      <family val="3"/>
    </font>
    <font>
      <sz val="8"/>
      <color theme="0" tint="-4.9989318521683403E-2"/>
      <name val="Helv"/>
    </font>
    <font>
      <sz val="10"/>
      <color theme="0" tint="-4.9989318521683403E-2"/>
      <name val="Arial"/>
      <family val="2"/>
    </font>
    <font>
      <sz val="8"/>
      <color theme="0" tint="-4.9989318521683403E-2"/>
      <name val="Arial"/>
      <family val="2"/>
    </font>
    <font>
      <sz val="11"/>
      <name val="Calibri"/>
      <family val="2"/>
      <scheme val="minor"/>
    </font>
    <font>
      <b/>
      <u/>
      <sz val="13"/>
      <name val="Arial"/>
      <family val="2"/>
    </font>
    <font>
      <vertAlign val="superscript"/>
      <sz val="12"/>
      <name val="Arial"/>
      <family val="2"/>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gray0625"/>
    </fill>
    <fill>
      <patternFill patternType="gray0625">
        <fgColor indexed="26"/>
        <bgColor indexed="26"/>
      </patternFill>
    </fill>
    <fill>
      <patternFill patternType="solid">
        <fgColor theme="0" tint="-0.14999847407452621"/>
        <bgColor indexed="64"/>
      </patternFill>
    </fill>
    <fill>
      <patternFill patternType="solid">
        <fgColor theme="0" tint="-0.24994659260841701"/>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s>
  <borders count="180">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style="thin">
        <color indexed="64"/>
      </bottom>
      <diagonal/>
    </border>
    <border>
      <left style="thin">
        <color indexed="64"/>
      </left>
      <right style="double">
        <color indexed="64"/>
      </right>
      <top/>
      <bottom style="medium">
        <color indexed="64"/>
      </bottom>
      <diagonal/>
    </border>
    <border>
      <left/>
      <right/>
      <top style="medium">
        <color indexed="64"/>
      </top>
      <bottom style="double">
        <color indexed="64"/>
      </bottom>
      <diagonal/>
    </border>
    <border>
      <left style="medium">
        <color indexed="64"/>
      </left>
      <right/>
      <top/>
      <bottom style="medium">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top/>
      <bottom/>
      <diagonal/>
    </border>
    <border>
      <left style="thin">
        <color indexed="64"/>
      </left>
      <right/>
      <top/>
      <bottom/>
      <diagonal/>
    </border>
    <border>
      <left style="medium">
        <color indexed="64"/>
      </left>
      <right/>
      <top style="double">
        <color indexed="64"/>
      </top>
      <bottom style="medium">
        <color indexed="64"/>
      </bottom>
      <diagonal/>
    </border>
    <border>
      <left style="double">
        <color indexed="64"/>
      </left>
      <right style="double">
        <color indexed="64"/>
      </right>
      <top style="medium">
        <color indexed="64"/>
      </top>
      <bottom/>
      <diagonal/>
    </border>
    <border>
      <left/>
      <right style="double">
        <color indexed="64"/>
      </right>
      <top style="medium">
        <color indexed="64"/>
      </top>
      <bottom/>
      <diagonal/>
    </border>
    <border>
      <left style="thin">
        <color indexed="64"/>
      </left>
      <right style="double">
        <color indexed="64"/>
      </right>
      <top/>
      <bottom style="double">
        <color indexed="64"/>
      </bottom>
      <diagonal/>
    </border>
    <border>
      <left style="double">
        <color indexed="64"/>
      </left>
      <right/>
      <top/>
      <bottom/>
      <diagonal/>
    </border>
    <border>
      <left/>
      <right style="double">
        <color indexed="64"/>
      </right>
      <top/>
      <bottom/>
      <diagonal/>
    </border>
    <border>
      <left style="thin">
        <color indexed="64"/>
      </left>
      <right/>
      <top style="double">
        <color indexed="64"/>
      </top>
      <bottom style="medium">
        <color indexed="64"/>
      </bottom>
      <diagonal/>
    </border>
    <border>
      <left/>
      <right style="medium">
        <color indexed="64"/>
      </right>
      <top style="medium">
        <color indexed="64"/>
      </top>
      <bottom style="thin">
        <color indexed="64"/>
      </bottom>
      <diagonal/>
    </border>
    <border>
      <left style="thin">
        <color indexed="64"/>
      </left>
      <right/>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style="medium">
        <color indexed="64"/>
      </right>
      <top/>
      <bottom style="double">
        <color indexed="64"/>
      </bottom>
      <diagonal/>
    </border>
    <border>
      <left style="double">
        <color indexed="64"/>
      </left>
      <right/>
      <top style="double">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right style="medium">
        <color indexed="64"/>
      </right>
      <top style="double">
        <color indexed="64"/>
      </top>
      <bottom/>
      <diagonal/>
    </border>
    <border>
      <left style="double">
        <color indexed="64"/>
      </left>
      <right style="medium">
        <color indexed="64"/>
      </right>
      <top style="double">
        <color indexed="64"/>
      </top>
      <bottom/>
      <diagonal/>
    </border>
    <border>
      <left style="medium">
        <color indexed="64"/>
      </left>
      <right/>
      <top style="medium">
        <color indexed="64"/>
      </top>
      <bottom style="thin">
        <color indexed="64"/>
      </bottom>
      <diagonal/>
    </border>
    <border>
      <left style="medium">
        <color indexed="64"/>
      </left>
      <right/>
      <top style="double">
        <color indexed="64"/>
      </top>
      <bottom/>
      <diagonal/>
    </border>
    <border>
      <left style="medium">
        <color indexed="64"/>
      </left>
      <right/>
      <top/>
      <bottom style="double">
        <color indexed="64"/>
      </bottom>
      <diagonal/>
    </border>
    <border>
      <left style="thin">
        <color indexed="64"/>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right style="double">
        <color indexed="64"/>
      </right>
      <top style="double">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double">
        <color indexed="64"/>
      </top>
      <bottom style="medium">
        <color indexed="64"/>
      </bottom>
      <diagonal/>
    </border>
    <border>
      <left/>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double">
        <color indexed="64"/>
      </left>
      <right/>
      <top/>
      <bottom style="thin">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diagonal/>
    </border>
    <border>
      <left style="thin">
        <color indexed="64"/>
      </left>
      <right style="double">
        <color indexed="64"/>
      </right>
      <top style="thin">
        <color indexed="64"/>
      </top>
      <bottom style="thin">
        <color indexed="64"/>
      </bottom>
      <diagonal/>
    </border>
    <border>
      <left/>
      <right/>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diagonal/>
    </border>
    <border>
      <left/>
      <right/>
      <top style="medium">
        <color indexed="64"/>
      </top>
      <bottom/>
      <diagonal/>
    </border>
    <border>
      <left/>
      <right/>
      <top/>
      <bottom style="double">
        <color indexed="64"/>
      </bottom>
      <diagonal/>
    </border>
    <border>
      <left style="double">
        <color indexed="64"/>
      </left>
      <right style="thin">
        <color indexed="64"/>
      </right>
      <top style="double">
        <color indexed="64"/>
      </top>
      <bottom style="thin">
        <color indexed="64"/>
      </bottom>
      <diagonal/>
    </border>
    <border>
      <left style="medium">
        <color indexed="64"/>
      </left>
      <right style="thin">
        <color indexed="64"/>
      </right>
      <top/>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style="double">
        <color indexed="64"/>
      </left>
      <right style="thin">
        <color indexed="64"/>
      </right>
      <top/>
      <bottom style="double">
        <color indexed="64"/>
      </bottom>
      <diagonal/>
    </border>
    <border>
      <left style="double">
        <color indexed="64"/>
      </left>
      <right style="medium">
        <color indexed="64"/>
      </right>
      <top/>
      <bottom style="double">
        <color indexed="64"/>
      </bottom>
      <diagonal/>
    </border>
    <border>
      <left style="thin">
        <color indexed="64"/>
      </left>
      <right style="double">
        <color indexed="64"/>
      </right>
      <top/>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double">
        <color indexed="64"/>
      </bottom>
      <diagonal/>
    </border>
    <border>
      <left style="double">
        <color indexed="64"/>
      </left>
      <right style="medium">
        <color indexed="64"/>
      </right>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double">
        <color indexed="64"/>
      </bottom>
      <diagonal/>
    </border>
    <border>
      <left style="thin">
        <color indexed="64"/>
      </left>
      <right style="double">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double">
        <color indexed="64"/>
      </left>
      <right style="medium">
        <color indexed="64"/>
      </right>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double">
        <color indexed="64"/>
      </top>
      <bottom style="thin">
        <color indexed="64"/>
      </bottom>
      <diagonal/>
    </border>
    <border>
      <left style="double">
        <color indexed="64"/>
      </left>
      <right/>
      <top style="double">
        <color indexed="64"/>
      </top>
      <bottom style="medium">
        <color indexed="64"/>
      </bottom>
      <diagonal/>
    </border>
    <border>
      <left style="double">
        <color indexed="64"/>
      </left>
      <right style="medium">
        <color indexed="64"/>
      </right>
      <top style="double">
        <color indexed="64"/>
      </top>
      <bottom style="medium">
        <color indexed="64"/>
      </bottom>
      <diagonal/>
    </border>
    <border>
      <left/>
      <right/>
      <top/>
      <bottom style="medium">
        <color indexed="64"/>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top style="double">
        <color indexed="64"/>
      </top>
      <bottom style="medium">
        <color indexed="64"/>
      </bottom>
      <diagonal/>
    </border>
    <border>
      <left/>
      <right/>
      <top style="double">
        <color indexed="64"/>
      </top>
      <bottom style="thin">
        <color indexed="64"/>
      </bottom>
      <diagonal/>
    </border>
    <border>
      <left/>
      <right style="thin">
        <color indexed="64"/>
      </right>
      <top style="double">
        <color indexed="64"/>
      </top>
      <bottom style="medium">
        <color indexed="64"/>
      </bottom>
      <diagonal/>
    </border>
    <border>
      <left style="double">
        <color indexed="64"/>
      </left>
      <right style="thin">
        <color indexed="64"/>
      </right>
      <top style="thick">
        <color indexed="64"/>
      </top>
      <bottom style="thin">
        <color indexed="64"/>
      </bottom>
      <diagonal/>
    </border>
    <border>
      <left style="double">
        <color indexed="64"/>
      </left>
      <right/>
      <top/>
      <bottom style="thick">
        <color indexed="64"/>
      </bottom>
      <diagonal/>
    </border>
    <border>
      <left/>
      <right style="double">
        <color indexed="64"/>
      </right>
      <top/>
      <bottom style="thick">
        <color indexed="64"/>
      </bottom>
      <diagonal/>
    </border>
    <border>
      <left style="thin">
        <color indexed="64"/>
      </left>
      <right style="double">
        <color indexed="64"/>
      </right>
      <top style="thick">
        <color indexed="64"/>
      </top>
      <bottom style="thin">
        <color indexed="64"/>
      </bottom>
      <diagonal/>
    </border>
    <border>
      <left/>
      <right style="medium">
        <color indexed="64"/>
      </right>
      <top style="double">
        <color indexed="64"/>
      </top>
      <bottom style="medium">
        <color indexed="64"/>
      </bottom>
      <diagonal/>
    </border>
    <border>
      <left/>
      <right style="thin">
        <color indexed="64"/>
      </right>
      <top/>
      <bottom/>
      <diagonal/>
    </border>
    <border>
      <left/>
      <right style="thin">
        <color indexed="64"/>
      </right>
      <top/>
      <bottom style="medium">
        <color indexed="64"/>
      </bottom>
      <diagonal/>
    </border>
    <border>
      <left/>
      <right/>
      <top style="thin">
        <color indexed="64"/>
      </top>
      <bottom/>
      <diagonal/>
    </border>
    <border>
      <left/>
      <right style="double">
        <color indexed="64"/>
      </right>
      <top style="thin">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thin">
        <color indexed="64"/>
      </left>
      <right style="double">
        <color indexed="64"/>
      </right>
      <top style="thick">
        <color indexed="64"/>
      </top>
      <bottom/>
      <diagonal/>
    </border>
    <border>
      <left style="thin">
        <color indexed="64"/>
      </left>
      <right style="double">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diagonal/>
    </border>
    <border>
      <left style="thin">
        <color indexed="64"/>
      </left>
      <right/>
      <top style="medium">
        <color indexed="64"/>
      </top>
      <bottom style="medium">
        <color indexed="64"/>
      </bottom>
      <diagonal/>
    </border>
    <border>
      <left style="medium">
        <color indexed="64"/>
      </left>
      <right style="double">
        <color indexed="64"/>
      </right>
      <top style="double">
        <color indexed="64"/>
      </top>
      <bottom/>
      <diagonal/>
    </border>
    <border>
      <left/>
      <right/>
      <top style="thin">
        <color indexed="64"/>
      </top>
      <bottom style="medium">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top style="medium">
        <color indexed="64"/>
      </top>
      <bottom/>
      <diagonal/>
    </border>
    <border>
      <left style="medium">
        <color indexed="64"/>
      </left>
      <right style="medium">
        <color indexed="64"/>
      </right>
      <top style="thin">
        <color indexed="64"/>
      </top>
      <bottom/>
      <diagonal/>
    </border>
    <border>
      <left style="thin">
        <color indexed="64"/>
      </left>
      <right/>
      <top/>
      <bottom style="medium">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s>
  <cellStyleXfs count="130">
    <xf numFmtId="0" fontId="0" fillId="0" borderId="0"/>
    <xf numFmtId="0" fontId="72" fillId="2" borderId="0" applyNumberFormat="0" applyBorder="0" applyAlignment="0" applyProtection="0"/>
    <xf numFmtId="0" fontId="72" fillId="2"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4" fillId="16" borderId="1" applyNumberFormat="0" applyAlignment="0" applyProtection="0"/>
    <xf numFmtId="0" fontId="74" fillId="16" borderId="1" applyNumberFormat="0" applyAlignment="0" applyProtection="0"/>
    <xf numFmtId="0" fontId="75" fillId="0" borderId="2" applyNumberFormat="0" applyFill="0" applyAlignment="0" applyProtection="0"/>
    <xf numFmtId="0" fontId="75" fillId="0" borderId="2" applyNumberFormat="0" applyFill="0" applyAlignment="0" applyProtection="0"/>
    <xf numFmtId="0" fontId="76" fillId="17" borderId="3" applyNumberFormat="0" applyAlignment="0" applyProtection="0"/>
    <xf numFmtId="0" fontId="76" fillId="17" borderId="3" applyNumberFormat="0" applyAlignment="0" applyProtection="0"/>
    <xf numFmtId="0" fontId="8" fillId="0" borderId="0" applyNumberFormat="0" applyFill="0" applyBorder="0" applyAlignment="0" applyProtection="0">
      <alignment vertical="top"/>
      <protection locked="0"/>
    </xf>
    <xf numFmtId="0" fontId="73" fillId="18" borderId="0" applyNumberFormat="0" applyBorder="0" applyAlignment="0" applyProtection="0"/>
    <xf numFmtId="0" fontId="73" fillId="18"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166" fontId="30" fillId="0" borderId="0" applyFont="0" applyFill="0" applyBorder="0" applyAlignment="0" applyProtection="0"/>
    <xf numFmtId="0" fontId="77" fillId="7" borderId="1" applyNumberFormat="0" applyAlignment="0" applyProtection="0"/>
    <xf numFmtId="0" fontId="77" fillId="7" borderId="1" applyNumberFormat="0" applyAlignment="0" applyProtection="0"/>
    <xf numFmtId="0" fontId="120" fillId="0" borderId="0" applyNumberFormat="0" applyBorder="0" applyAlignment="0"/>
    <xf numFmtId="40" fontId="1" fillId="0" borderId="0" applyFont="0" applyFill="0" applyBorder="0" applyAlignment="0" applyProtection="0"/>
    <xf numFmtId="41" fontId="60" fillId="0" borderId="0" applyFont="0" applyFill="0" applyBorder="0" applyAlignment="0" applyProtection="0"/>
    <xf numFmtId="40" fontId="1" fillId="0" borderId="0" applyFont="0" applyFill="0" applyBorder="0" applyAlignment="0" applyProtection="0"/>
    <xf numFmtId="40" fontId="1" fillId="0" borderId="0" applyFont="0" applyFill="0" applyBorder="0" applyAlignment="0" applyProtection="0"/>
    <xf numFmtId="40" fontId="1" fillId="0" borderId="0" applyFont="0" applyFill="0" applyBorder="0" applyAlignment="0" applyProtection="0"/>
    <xf numFmtId="40" fontId="1" fillId="0" borderId="0" applyFont="0" applyFill="0" applyBorder="0" applyAlignment="0" applyProtection="0"/>
    <xf numFmtId="40" fontId="1" fillId="0" borderId="0" applyFont="0" applyFill="0" applyBorder="0" applyAlignment="0" applyProtection="0"/>
    <xf numFmtId="0" fontId="78" fillId="22" borderId="0" applyNumberFormat="0" applyBorder="0" applyAlignment="0" applyProtection="0"/>
    <xf numFmtId="0" fontId="78" fillId="22" borderId="0" applyNumberFormat="0" applyBorder="0" applyAlignment="0" applyProtection="0"/>
    <xf numFmtId="0" fontId="114" fillId="0" borderId="0"/>
    <xf numFmtId="0" fontId="30" fillId="0" borderId="0"/>
    <xf numFmtId="0" fontId="106" fillId="0" borderId="0"/>
    <xf numFmtId="0" fontId="30" fillId="0" borderId="0"/>
    <xf numFmtId="0" fontId="30" fillId="0" borderId="0"/>
    <xf numFmtId="0" fontId="15" fillId="0" borderId="0"/>
    <xf numFmtId="0" fontId="121" fillId="0" borderId="0"/>
    <xf numFmtId="0" fontId="120" fillId="0" borderId="0"/>
    <xf numFmtId="0" fontId="121" fillId="0" borderId="0"/>
    <xf numFmtId="0" fontId="121" fillId="0" borderId="0"/>
    <xf numFmtId="0" fontId="30" fillId="0" borderId="0"/>
    <xf numFmtId="0" fontId="120" fillId="0" borderId="0"/>
    <xf numFmtId="0" fontId="30" fillId="0" borderId="0"/>
    <xf numFmtId="0" fontId="106" fillId="0" borderId="0"/>
    <xf numFmtId="0" fontId="15" fillId="0" borderId="0"/>
    <xf numFmtId="0" fontId="122" fillId="0" borderId="0"/>
    <xf numFmtId="0" fontId="120" fillId="0" borderId="0"/>
    <xf numFmtId="0" fontId="30" fillId="0" borderId="0"/>
    <xf numFmtId="0" fontId="30" fillId="0" borderId="0"/>
    <xf numFmtId="0" fontId="30" fillId="0" borderId="0"/>
    <xf numFmtId="0" fontId="72" fillId="0" borderId="0"/>
    <xf numFmtId="164" fontId="41"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72" fillId="23" borderId="4" applyNumberFormat="0" applyFont="0" applyAlignment="0" applyProtection="0"/>
    <xf numFmtId="0" fontId="72" fillId="23" borderId="4" applyNumberFormat="0" applyFont="0" applyAlignment="0" applyProtection="0"/>
    <xf numFmtId="0" fontId="79" fillId="16" borderId="5" applyNumberFormat="0" applyAlignment="0" applyProtection="0"/>
    <xf numFmtId="0" fontId="79" fillId="16" borderId="5" applyNumberFormat="0" applyAlignment="0" applyProtection="0"/>
    <xf numFmtId="9" fontId="1" fillId="0" borderId="0" applyFont="0" applyFill="0" applyBorder="0" applyAlignment="0" applyProtection="0"/>
    <xf numFmtId="9" fontId="8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4" fillId="0" borderId="6" applyNumberFormat="0" applyFill="0" applyAlignment="0" applyProtection="0"/>
    <xf numFmtId="0" fontId="84" fillId="0" borderId="6" applyNumberFormat="0" applyFill="0" applyAlignment="0" applyProtection="0"/>
    <xf numFmtId="0" fontId="85" fillId="0" borderId="7" applyNumberFormat="0" applyFill="0" applyAlignment="0" applyProtection="0"/>
    <xf numFmtId="0" fontId="85" fillId="0" borderId="7" applyNumberFormat="0" applyFill="0" applyAlignment="0" applyProtection="0"/>
    <xf numFmtId="0" fontId="86" fillId="0" borderId="8" applyNumberFormat="0" applyFill="0" applyAlignment="0" applyProtection="0"/>
    <xf numFmtId="0" fontId="86" fillId="0" borderId="8" applyNumberFormat="0" applyFill="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3" fillId="0" borderId="0" applyNumberFormat="0" applyFill="0" applyBorder="0" applyAlignment="0" applyProtection="0"/>
    <xf numFmtId="0" fontId="87" fillId="0" borderId="9" applyNumberFormat="0" applyFill="0" applyAlignment="0" applyProtection="0"/>
    <xf numFmtId="0" fontId="87" fillId="0" borderId="9" applyNumberFormat="0" applyFill="0" applyAlignment="0" applyProtection="0"/>
    <xf numFmtId="0" fontId="88" fillId="3" borderId="0" applyNumberFormat="0" applyBorder="0" applyAlignment="0" applyProtection="0"/>
    <xf numFmtId="0" fontId="88" fillId="3"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165" fontId="60" fillId="0" borderId="0" applyFont="0" applyFill="0" applyBorder="0" applyAlignment="0" applyProtection="0"/>
    <xf numFmtId="0" fontId="114" fillId="0" borderId="0"/>
    <xf numFmtId="0" fontId="15" fillId="0" borderId="0"/>
  </cellStyleXfs>
  <cellXfs count="1650">
    <xf numFmtId="0" fontId="0" fillId="0" borderId="0" xfId="0"/>
    <xf numFmtId="0" fontId="2" fillId="0" borderId="0" xfId="0" applyFont="1" applyAlignment="1">
      <alignment horizontal="left" vertical="top"/>
    </xf>
    <xf numFmtId="0" fontId="3" fillId="0" borderId="0" xfId="0" applyFont="1" applyAlignment="1">
      <alignment horizontal="center"/>
    </xf>
    <xf numFmtId="0" fontId="3" fillId="0" borderId="0" xfId="0" applyFont="1"/>
    <xf numFmtId="0" fontId="3" fillId="0" borderId="0" xfId="0" applyFont="1" applyAlignment="1">
      <alignment horizontal="left"/>
    </xf>
    <xf numFmtId="0" fontId="4" fillId="0" borderId="0" xfId="0" applyFont="1"/>
    <xf numFmtId="0" fontId="6" fillId="0" borderId="0" xfId="0" applyFont="1" applyAlignment="1">
      <alignment horizontal="right" vertical="center"/>
    </xf>
    <xf numFmtId="0" fontId="3" fillId="0" borderId="10" xfId="0" applyFont="1" applyBorder="1" applyAlignment="1">
      <alignment horizontal="centerContinuous"/>
    </xf>
    <xf numFmtId="0" fontId="3" fillId="0" borderId="11" xfId="0" applyFont="1" applyBorder="1" applyAlignment="1">
      <alignment horizontal="center"/>
    </xf>
    <xf numFmtId="0" fontId="3" fillId="0" borderId="12" xfId="0" applyFont="1" applyBorder="1" applyAlignment="1">
      <alignment horizontal="centerContinuous" vertical="center"/>
    </xf>
    <xf numFmtId="0" fontId="3" fillId="0" borderId="13" xfId="0" applyFont="1" applyBorder="1" applyAlignment="1">
      <alignment horizontal="center"/>
    </xf>
    <xf numFmtId="0" fontId="5" fillId="0" borderId="14" xfId="0" applyFont="1" applyBorder="1" applyAlignment="1">
      <alignment horizontal="centerContinuous" vertical="center"/>
    </xf>
    <xf numFmtId="0" fontId="6" fillId="0" borderId="15" xfId="0" applyFont="1" applyBorder="1" applyAlignment="1">
      <alignment horizontal="right" vertical="center"/>
    </xf>
    <xf numFmtId="0" fontId="13" fillId="0" borderId="16" xfId="0" applyFont="1" applyBorder="1" applyAlignment="1">
      <alignment horizontal="centerContinuous" vertical="center"/>
    </xf>
    <xf numFmtId="0" fontId="13" fillId="0" borderId="17" xfId="0" applyFont="1" applyBorder="1" applyAlignment="1">
      <alignment horizontal="centerContinuous" vertical="center"/>
    </xf>
    <xf numFmtId="0" fontId="13" fillId="0" borderId="16" xfId="0" applyFont="1" applyBorder="1" applyAlignment="1">
      <alignment horizontal="centerContinuous" vertical="center" wrapText="1"/>
    </xf>
    <xf numFmtId="0" fontId="3" fillId="0" borderId="18" xfId="0" applyFont="1" applyBorder="1" applyAlignment="1">
      <alignment horizontal="left"/>
    </xf>
    <xf numFmtId="0" fontId="3" fillId="0" borderId="19" xfId="0" applyFont="1" applyBorder="1" applyAlignment="1">
      <alignment horizontal="left"/>
    </xf>
    <xf numFmtId="0" fontId="14" fillId="0" borderId="0" xfId="0" applyFont="1"/>
    <xf numFmtId="0" fontId="10" fillId="0" borderId="20" xfId="0" applyFont="1" applyBorder="1" applyAlignment="1">
      <alignment horizontal="center" vertical="center"/>
    </xf>
    <xf numFmtId="0" fontId="2" fillId="0" borderId="0" xfId="98" applyFont="1" applyAlignment="1">
      <alignment horizontal="left" vertical="top"/>
    </xf>
    <xf numFmtId="0" fontId="3" fillId="0" borderId="0" xfId="98" applyFont="1" applyAlignment="1">
      <alignment horizontal="center"/>
    </xf>
    <xf numFmtId="0" fontId="3" fillId="0" borderId="0" xfId="98" applyFont="1"/>
    <xf numFmtId="0" fontId="10" fillId="0" borderId="20" xfId="98" applyFont="1" applyBorder="1" applyAlignment="1">
      <alignment horizontal="center" vertical="center"/>
    </xf>
    <xf numFmtId="0" fontId="6" fillId="0" borderId="21" xfId="98" applyFont="1" applyBorder="1" applyAlignment="1">
      <alignment horizontal="center" vertical="center"/>
    </xf>
    <xf numFmtId="0" fontId="6" fillId="0" borderId="22" xfId="98" applyFont="1" applyBorder="1" applyAlignment="1">
      <alignment horizontal="right" vertical="center"/>
    </xf>
    <xf numFmtId="0" fontId="15" fillId="0" borderId="0" xfId="97"/>
    <xf numFmtId="0" fontId="16" fillId="0" borderId="23" xfId="97" applyFont="1" applyBorder="1" applyAlignment="1">
      <alignment horizontal="centerContinuous" vertical="center" wrapText="1"/>
    </xf>
    <xf numFmtId="0" fontId="3" fillId="0" borderId="24" xfId="97" applyFont="1" applyBorder="1" applyAlignment="1">
      <alignment horizontal="centerContinuous" vertical="center" wrapText="1"/>
    </xf>
    <xf numFmtId="0" fontId="6" fillId="0" borderId="25" xfId="97" applyFont="1" applyBorder="1" applyAlignment="1">
      <alignment horizontal="center" vertical="center"/>
    </xf>
    <xf numFmtId="0" fontId="18" fillId="0" borderId="26" xfId="97" applyFont="1" applyBorder="1" applyAlignment="1">
      <alignment horizontal="centerContinuous" vertical="center" wrapText="1"/>
    </xf>
    <xf numFmtId="0" fontId="18" fillId="0" borderId="0" xfId="97" applyFont="1" applyAlignment="1">
      <alignment horizontal="centerContinuous" vertical="center" wrapText="1"/>
    </xf>
    <xf numFmtId="0" fontId="18" fillId="0" borderId="27" xfId="97" applyFont="1" applyBorder="1" applyAlignment="1">
      <alignment horizontal="center" vertical="center" wrapText="1"/>
    </xf>
    <xf numFmtId="0" fontId="18" fillId="0" borderId="27" xfId="97" applyFont="1" applyBorder="1" applyAlignment="1">
      <alignment horizontal="centerContinuous" vertical="center" wrapText="1"/>
    </xf>
    <xf numFmtId="0" fontId="6" fillId="0" borderId="22" xfId="97" applyFont="1" applyBorder="1" applyAlignment="1">
      <alignment horizontal="right" vertical="center"/>
    </xf>
    <xf numFmtId="0" fontId="3" fillId="0" borderId="28" xfId="97" applyFont="1" applyBorder="1" applyAlignment="1">
      <alignment horizontal="center"/>
    </xf>
    <xf numFmtId="0" fontId="3" fillId="0" borderId="0" xfId="96" applyFont="1"/>
    <xf numFmtId="0" fontId="4" fillId="0" borderId="0" xfId="96" applyFont="1"/>
    <xf numFmtId="0" fontId="3" fillId="0" borderId="0" xfId="96" applyFont="1" applyAlignment="1">
      <alignment horizontal="center"/>
    </xf>
    <xf numFmtId="0" fontId="3" fillId="0" borderId="10" xfId="96" applyFont="1" applyBorder="1" applyAlignment="1">
      <alignment horizontal="centerContinuous"/>
    </xf>
    <xf numFmtId="0" fontId="3" fillId="0" borderId="11" xfId="96" applyFont="1" applyBorder="1" applyAlignment="1">
      <alignment horizontal="center"/>
    </xf>
    <xf numFmtId="0" fontId="6" fillId="0" borderId="12" xfId="96" applyFont="1" applyBorder="1" applyAlignment="1">
      <alignment horizontal="centerContinuous" vertical="center"/>
    </xf>
    <xf numFmtId="0" fontId="3" fillId="0" borderId="12" xfId="96" applyFont="1" applyBorder="1" applyAlignment="1">
      <alignment horizontal="centerContinuous" vertical="center"/>
    </xf>
    <xf numFmtId="0" fontId="3" fillId="0" borderId="29" xfId="96" applyFont="1" applyBorder="1" applyAlignment="1">
      <alignment horizontal="centerContinuous" vertical="center"/>
    </xf>
    <xf numFmtId="0" fontId="6" fillId="0" borderId="21" xfId="96" applyFont="1" applyBorder="1" applyAlignment="1">
      <alignment horizontal="center" vertical="center"/>
    </xf>
    <xf numFmtId="0" fontId="3" fillId="0" borderId="30" xfId="96" applyFont="1" applyBorder="1" applyAlignment="1">
      <alignment horizontal="center"/>
    </xf>
    <xf numFmtId="0" fontId="20" fillId="0" borderId="31" xfId="96" applyFont="1" applyBorder="1" applyAlignment="1">
      <alignment horizontal="center"/>
    </xf>
    <xf numFmtId="0" fontId="20" fillId="0" borderId="32" xfId="96" applyFont="1" applyBorder="1" applyAlignment="1">
      <alignment horizontal="center"/>
    </xf>
    <xf numFmtId="0" fontId="20" fillId="0" borderId="33" xfId="96" applyFont="1" applyBorder="1" applyAlignment="1">
      <alignment horizontal="center"/>
    </xf>
    <xf numFmtId="0" fontId="6" fillId="0" borderId="22" xfId="96" applyFont="1" applyBorder="1" applyAlignment="1">
      <alignment horizontal="right" vertical="center"/>
    </xf>
    <xf numFmtId="0" fontId="3" fillId="0" borderId="28" xfId="96" applyFont="1" applyBorder="1" applyAlignment="1">
      <alignment horizontal="center"/>
    </xf>
    <xf numFmtId="0" fontId="3" fillId="0" borderId="0" xfId="95" applyFont="1"/>
    <xf numFmtId="0" fontId="4" fillId="0" borderId="0" xfId="95" applyFont="1"/>
    <xf numFmtId="0" fontId="3" fillId="0" borderId="0" xfId="95" applyFont="1" applyAlignment="1">
      <alignment horizontal="center"/>
    </xf>
    <xf numFmtId="0" fontId="3" fillId="0" borderId="10" xfId="95" applyFont="1" applyBorder="1" applyAlignment="1">
      <alignment horizontal="centerContinuous"/>
    </xf>
    <xf numFmtId="0" fontId="3" fillId="0" borderId="11" xfId="95" applyFont="1" applyBorder="1" applyAlignment="1">
      <alignment horizontal="center"/>
    </xf>
    <xf numFmtId="0" fontId="6" fillId="0" borderId="12" xfId="95" applyFont="1" applyBorder="1" applyAlignment="1">
      <alignment horizontal="centerContinuous" vertical="center"/>
    </xf>
    <xf numFmtId="0" fontId="3" fillId="0" borderId="12" xfId="95" applyFont="1" applyBorder="1" applyAlignment="1">
      <alignment horizontal="centerContinuous" vertical="center"/>
    </xf>
    <xf numFmtId="0" fontId="3" fillId="0" borderId="29" xfId="95" applyFont="1" applyBorder="1" applyAlignment="1">
      <alignment horizontal="centerContinuous" vertical="center"/>
    </xf>
    <xf numFmtId="0" fontId="6" fillId="0" borderId="21" xfId="95" applyFont="1" applyBorder="1" applyAlignment="1">
      <alignment horizontal="center" vertical="center"/>
    </xf>
    <xf numFmtId="0" fontId="6" fillId="0" borderId="34" xfId="95" applyFont="1" applyBorder="1" applyAlignment="1">
      <alignment horizontal="centerContinuous" vertical="center"/>
    </xf>
    <xf numFmtId="0" fontId="3" fillId="0" borderId="30" xfId="95" applyFont="1" applyBorder="1" applyAlignment="1">
      <alignment horizontal="center"/>
    </xf>
    <xf numFmtId="0" fontId="20" fillId="0" borderId="31" xfId="95" applyFont="1" applyBorder="1" applyAlignment="1">
      <alignment horizontal="center"/>
    </xf>
    <xf numFmtId="0" fontId="20" fillId="0" borderId="32" xfId="95" applyFont="1" applyBorder="1" applyAlignment="1">
      <alignment horizontal="center"/>
    </xf>
    <xf numFmtId="0" fontId="20" fillId="0" borderId="33" xfId="95" applyFont="1" applyBorder="1" applyAlignment="1">
      <alignment horizontal="center"/>
    </xf>
    <xf numFmtId="0" fontId="6" fillId="0" borderId="22" xfId="95" applyFont="1" applyBorder="1" applyAlignment="1">
      <alignment horizontal="right" vertical="center"/>
    </xf>
    <xf numFmtId="0" fontId="3" fillId="0" borderId="28" xfId="95" applyFont="1" applyBorder="1" applyAlignment="1">
      <alignment horizontal="center"/>
    </xf>
    <xf numFmtId="0" fontId="2" fillId="0" borderId="0" xfId="94" applyFont="1" applyAlignment="1">
      <alignment horizontal="left" vertical="top"/>
    </xf>
    <xf numFmtId="0" fontId="3" fillId="0" borderId="0" xfId="94" applyFont="1" applyAlignment="1">
      <alignment horizontal="center"/>
    </xf>
    <xf numFmtId="0" fontId="3" fillId="0" borderId="0" xfId="94" applyFont="1"/>
    <xf numFmtId="0" fontId="3" fillId="0" borderId="0" xfId="94" applyFont="1" applyAlignment="1">
      <alignment horizontal="left"/>
    </xf>
    <xf numFmtId="0" fontId="3" fillId="0" borderId="10" xfId="94" applyFont="1" applyBorder="1" applyAlignment="1">
      <alignment horizontal="centerContinuous"/>
    </xf>
    <xf numFmtId="0" fontId="3" fillId="0" borderId="11" xfId="94" applyFont="1" applyBorder="1" applyAlignment="1">
      <alignment horizontal="center"/>
    </xf>
    <xf numFmtId="0" fontId="6" fillId="0" borderId="12" xfId="94" applyFont="1" applyBorder="1" applyAlignment="1">
      <alignment horizontal="centerContinuous" vertical="center"/>
    </xf>
    <xf numFmtId="0" fontId="3" fillId="0" borderId="12" xfId="94" applyFont="1" applyBorder="1" applyAlignment="1">
      <alignment horizontal="centerContinuous" vertical="center"/>
    </xf>
    <xf numFmtId="0" fontId="3" fillId="0" borderId="29" xfId="94" applyFont="1" applyBorder="1" applyAlignment="1">
      <alignment horizontal="centerContinuous" vertical="center"/>
    </xf>
    <xf numFmtId="0" fontId="6" fillId="0" borderId="21" xfId="94" applyFont="1" applyBorder="1" applyAlignment="1">
      <alignment horizontal="center" vertical="center"/>
    </xf>
    <xf numFmtId="0" fontId="3" fillId="0" borderId="30" xfId="94" applyFont="1" applyBorder="1" applyAlignment="1">
      <alignment horizontal="center"/>
    </xf>
    <xf numFmtId="0" fontId="6" fillId="0" borderId="22" xfId="94" applyFont="1" applyBorder="1" applyAlignment="1">
      <alignment horizontal="right" vertical="center"/>
    </xf>
    <xf numFmtId="0" fontId="3" fillId="0" borderId="28" xfId="94" applyFont="1" applyBorder="1" applyAlignment="1">
      <alignment horizontal="center"/>
    </xf>
    <xf numFmtId="0" fontId="3" fillId="0" borderId="0" xfId="93" applyFont="1"/>
    <xf numFmtId="0" fontId="3" fillId="0" borderId="10" xfId="93" applyFont="1" applyBorder="1" applyAlignment="1">
      <alignment horizontal="centerContinuous"/>
    </xf>
    <xf numFmtId="0" fontId="3" fillId="0" borderId="11" xfId="93" applyFont="1" applyBorder="1" applyAlignment="1">
      <alignment horizontal="center"/>
    </xf>
    <xf numFmtId="0" fontId="3" fillId="0" borderId="12" xfId="93" applyFont="1" applyBorder="1" applyAlignment="1">
      <alignment horizontal="centerContinuous" vertical="center"/>
    </xf>
    <xf numFmtId="0" fontId="3" fillId="0" borderId="29" xfId="93" applyFont="1" applyBorder="1" applyAlignment="1">
      <alignment horizontal="centerContinuous" vertical="center"/>
    </xf>
    <xf numFmtId="0" fontId="6" fillId="0" borderId="21" xfId="93" applyFont="1" applyBorder="1" applyAlignment="1">
      <alignment horizontal="center" vertical="center"/>
    </xf>
    <xf numFmtId="0" fontId="3" fillId="0" borderId="30" xfId="93" applyFont="1" applyBorder="1" applyAlignment="1">
      <alignment horizontal="center"/>
    </xf>
    <xf numFmtId="0" fontId="6" fillId="0" borderId="22" xfId="93" applyFont="1" applyBorder="1" applyAlignment="1">
      <alignment horizontal="right" vertical="center"/>
    </xf>
    <xf numFmtId="0" fontId="3" fillId="0" borderId="28" xfId="93" applyFont="1" applyBorder="1" applyAlignment="1">
      <alignment horizontal="center"/>
    </xf>
    <xf numFmtId="0" fontId="3" fillId="0" borderId="0" xfId="93" applyFont="1" applyAlignment="1">
      <alignment horizontal="center"/>
    </xf>
    <xf numFmtId="0" fontId="3" fillId="0" borderId="14" xfId="0" applyFont="1" applyBorder="1" applyAlignment="1">
      <alignment horizontal="centerContinuous" vertical="center"/>
    </xf>
    <xf numFmtId="0" fontId="24" fillId="0" borderId="0" xfId="0" applyFont="1"/>
    <xf numFmtId="0" fontId="3" fillId="0" borderId="35" xfId="0" applyFont="1" applyBorder="1" applyAlignment="1">
      <alignment horizontal="center"/>
    </xf>
    <xf numFmtId="0" fontId="3" fillId="0" borderId="0" xfId="0" applyFont="1" applyAlignment="1">
      <alignment vertical="center"/>
    </xf>
    <xf numFmtId="0" fontId="3" fillId="0" borderId="36" xfId="0" applyFont="1" applyBorder="1" applyAlignment="1">
      <alignment horizontal="centerContinuous" vertical="center"/>
    </xf>
    <xf numFmtId="0" fontId="0" fillId="0" borderId="0" xfId="0" applyAlignment="1">
      <alignment horizontal="center"/>
    </xf>
    <xf numFmtId="0" fontId="5" fillId="0" borderId="0" xfId="0" applyFont="1"/>
    <xf numFmtId="0" fontId="6" fillId="0" borderId="37" xfId="0" applyFont="1" applyBorder="1" applyAlignment="1">
      <alignment horizontal="center" vertical="center"/>
    </xf>
    <xf numFmtId="0" fontId="14" fillId="0" borderId="38" xfId="0" applyFont="1" applyBorder="1" applyAlignment="1">
      <alignment horizontal="justify"/>
    </xf>
    <xf numFmtId="0" fontId="29" fillId="0" borderId="0" xfId="0" applyFont="1"/>
    <xf numFmtId="0" fontId="14" fillId="0" borderId="39" xfId="0" applyFont="1" applyBorder="1" applyAlignment="1">
      <alignment horizontal="justify"/>
    </xf>
    <xf numFmtId="0" fontId="14" fillId="0" borderId="38" xfId="0" applyFont="1" applyBorder="1" applyAlignment="1">
      <alignment horizontal="left"/>
    </xf>
    <xf numFmtId="0" fontId="14" fillId="0" borderId="38" xfId="0" applyFont="1" applyBorder="1" applyAlignment="1">
      <alignment horizontal="justify" wrapText="1"/>
    </xf>
    <xf numFmtId="0" fontId="14" fillId="0" borderId="38" xfId="0" applyFont="1" applyBorder="1" applyAlignment="1">
      <alignment wrapText="1"/>
    </xf>
    <xf numFmtId="0" fontId="6" fillId="0" borderId="40" xfId="0" applyFont="1" applyBorder="1" applyAlignment="1">
      <alignment horizontal="centerContinuous" vertical="center" wrapText="1"/>
    </xf>
    <xf numFmtId="0" fontId="6" fillId="0" borderId="30" xfId="0" applyFont="1" applyBorder="1" applyAlignment="1">
      <alignment horizontal="center" vertical="center"/>
    </xf>
    <xf numFmtId="0" fontId="3" fillId="0" borderId="33" xfId="0" applyFont="1" applyBorder="1" applyAlignment="1">
      <alignment horizontal="centerContinuous" vertical="center"/>
    </xf>
    <xf numFmtId="0" fontId="6" fillId="0" borderId="22" xfId="0" applyFont="1" applyBorder="1" applyAlignment="1">
      <alignment horizontal="right" vertical="center"/>
    </xf>
    <xf numFmtId="0" fontId="3" fillId="0" borderId="28" xfId="0" applyFont="1" applyBorder="1" applyAlignment="1">
      <alignment horizontal="center"/>
    </xf>
    <xf numFmtId="0" fontId="3" fillId="0" borderId="29" xfId="0" applyFont="1" applyBorder="1" applyAlignment="1">
      <alignment horizontal="centerContinuous" vertical="center"/>
    </xf>
    <xf numFmtId="0" fontId="6" fillId="0" borderId="21" xfId="0" applyFont="1" applyBorder="1" applyAlignment="1">
      <alignment horizontal="center" vertical="center"/>
    </xf>
    <xf numFmtId="0" fontId="14" fillId="0" borderId="34" xfId="0" applyFont="1" applyBorder="1" applyAlignment="1">
      <alignment horizontal="centerContinuous" vertical="center" wrapText="1"/>
    </xf>
    <xf numFmtId="0" fontId="6" fillId="0" borderId="12" xfId="0" applyFont="1" applyBorder="1" applyAlignment="1">
      <alignment horizontal="centerContinuous" vertical="center"/>
    </xf>
    <xf numFmtId="0" fontId="6" fillId="0" borderId="41" xfId="0" applyFont="1" applyBorder="1" applyAlignment="1">
      <alignment horizontal="centerContinuous" vertical="center" wrapText="1"/>
    </xf>
    <xf numFmtId="0" fontId="6" fillId="0" borderId="42" xfId="0" applyFont="1" applyBorder="1" applyAlignment="1">
      <alignment horizontal="centerContinuous" vertical="center" wrapText="1"/>
    </xf>
    <xf numFmtId="0" fontId="6" fillId="0" borderId="34" xfId="0" applyFont="1" applyBorder="1" applyAlignment="1">
      <alignment horizontal="centerContinuous" vertical="center" wrapText="1"/>
    </xf>
    <xf numFmtId="0" fontId="6" fillId="0" borderId="43" xfId="0" applyFont="1" applyBorder="1" applyAlignment="1">
      <alignment horizontal="centerContinuous" vertical="center" wrapText="1"/>
    </xf>
    <xf numFmtId="0" fontId="6" fillId="0" borderId="44" xfId="0" applyFont="1" applyBorder="1" applyAlignment="1">
      <alignment horizontal="centerContinuous" vertical="center" wrapText="1"/>
    </xf>
    <xf numFmtId="0" fontId="3" fillId="0" borderId="35" xfId="0" applyFont="1" applyBorder="1" applyAlignment="1">
      <alignment horizontal="left"/>
    </xf>
    <xf numFmtId="0" fontId="6" fillId="0" borderId="43" xfId="95" applyFont="1" applyBorder="1" applyAlignment="1">
      <alignment horizontal="centerContinuous" vertical="center"/>
    </xf>
    <xf numFmtId="0" fontId="14" fillId="0" borderId="39" xfId="0" applyFont="1" applyBorder="1" applyAlignment="1">
      <alignment horizontal="justify" wrapText="1"/>
    </xf>
    <xf numFmtId="0" fontId="13" fillId="24" borderId="45" xfId="93" applyFont="1" applyFill="1" applyBorder="1" applyAlignment="1">
      <alignment horizontal="centerContinuous" vertical="center"/>
    </xf>
    <xf numFmtId="0" fontId="3" fillId="24" borderId="12" xfId="93" applyFont="1" applyFill="1" applyBorder="1" applyAlignment="1">
      <alignment horizontal="centerContinuous" vertical="center"/>
    </xf>
    <xf numFmtId="0" fontId="3" fillId="24" borderId="29" xfId="93" applyFont="1" applyFill="1" applyBorder="1" applyAlignment="1">
      <alignment horizontal="centerContinuous" vertical="center"/>
    </xf>
    <xf numFmtId="0" fontId="21" fillId="24" borderId="46" xfId="93" applyFont="1" applyFill="1" applyBorder="1" applyAlignment="1">
      <alignment horizontal="centerContinuous" vertical="center" wrapText="1"/>
    </xf>
    <xf numFmtId="0" fontId="21" fillId="24" borderId="43" xfId="93" applyFont="1" applyFill="1" applyBorder="1" applyAlignment="1">
      <alignment horizontal="centerContinuous" vertical="center"/>
    </xf>
    <xf numFmtId="0" fontId="21" fillId="24" borderId="43" xfId="94" applyFont="1" applyFill="1" applyBorder="1" applyAlignment="1">
      <alignment horizontal="centerContinuous" vertical="center"/>
    </xf>
    <xf numFmtId="0" fontId="21" fillId="24" borderId="34" xfId="94" applyFont="1" applyFill="1" applyBorder="1" applyAlignment="1">
      <alignment horizontal="centerContinuous" vertical="center"/>
    </xf>
    <xf numFmtId="0" fontId="20" fillId="24" borderId="47" xfId="93" applyFont="1" applyFill="1" applyBorder="1" applyAlignment="1">
      <alignment horizontal="center"/>
    </xf>
    <xf numFmtId="0" fontId="20" fillId="24" borderId="33" xfId="93" applyFont="1" applyFill="1" applyBorder="1" applyAlignment="1">
      <alignment horizontal="center"/>
    </xf>
    <xf numFmtId="0" fontId="20" fillId="24" borderId="31" xfId="93" applyFont="1" applyFill="1" applyBorder="1" applyAlignment="1">
      <alignment horizontal="center"/>
    </xf>
    <xf numFmtId="0" fontId="20" fillId="24" borderId="47" xfId="94" applyFont="1" applyFill="1" applyBorder="1" applyAlignment="1">
      <alignment horizontal="center"/>
    </xf>
    <xf numFmtId="0" fontId="20" fillId="24" borderId="33" xfId="94" applyFont="1" applyFill="1" applyBorder="1" applyAlignment="1">
      <alignment horizontal="center"/>
    </xf>
    <xf numFmtId="0" fontId="20" fillId="24" borderId="31" xfId="94" applyFont="1" applyFill="1" applyBorder="1" applyAlignment="1">
      <alignment horizontal="center"/>
    </xf>
    <xf numFmtId="0" fontId="3" fillId="0" borderId="48" xfId="0" applyFont="1" applyBorder="1" applyAlignment="1">
      <alignment horizontal="center"/>
    </xf>
    <xf numFmtId="0" fontId="3" fillId="0" borderId="49" xfId="0" applyFont="1" applyBorder="1" applyAlignment="1">
      <alignment horizontal="left"/>
    </xf>
    <xf numFmtId="0" fontId="6" fillId="0" borderId="50" xfId="0" applyFont="1" applyBorder="1" applyAlignment="1">
      <alignment horizontal="right" vertical="center"/>
    </xf>
    <xf numFmtId="0" fontId="6" fillId="0" borderId="0" xfId="96" applyFont="1" applyAlignment="1">
      <alignment horizontal="right" vertical="center"/>
    </xf>
    <xf numFmtId="0" fontId="3" fillId="24" borderId="0" xfId="96" applyFont="1" applyFill="1"/>
    <xf numFmtId="0" fontId="24" fillId="0" borderId="51" xfId="0" applyFont="1" applyBorder="1" applyAlignment="1">
      <alignment horizontal="center"/>
    </xf>
    <xf numFmtId="0" fontId="24" fillId="0" borderId="35" xfId="0" applyFont="1" applyBorder="1" applyAlignment="1">
      <alignment horizontal="center"/>
    </xf>
    <xf numFmtId="0" fontId="24" fillId="0" borderId="52" xfId="0" applyFont="1" applyBorder="1" applyAlignment="1">
      <alignment horizontal="center"/>
    </xf>
    <xf numFmtId="0" fontId="3" fillId="0" borderId="0" xfId="0" applyFont="1" applyAlignment="1">
      <alignment textRotation="255"/>
    </xf>
    <xf numFmtId="0" fontId="13" fillId="0" borderId="53" xfId="0" applyFont="1" applyBorder="1" applyAlignment="1">
      <alignment horizontal="right"/>
    </xf>
    <xf numFmtId="0" fontId="6" fillId="0" borderId="54" xfId="96" applyFont="1" applyBorder="1" applyAlignment="1">
      <alignment horizontal="center" vertical="center"/>
    </xf>
    <xf numFmtId="0" fontId="6" fillId="0" borderId="54" xfId="96" applyFont="1" applyBorder="1" applyAlignment="1">
      <alignment vertical="center"/>
    </xf>
    <xf numFmtId="0" fontId="34" fillId="0" borderId="28" xfId="93" applyFont="1" applyBorder="1" applyAlignment="1">
      <alignment horizontal="center"/>
    </xf>
    <xf numFmtId="0" fontId="34" fillId="0" borderId="0" xfId="0" applyFont="1" applyAlignment="1">
      <alignment horizontal="center"/>
    </xf>
    <xf numFmtId="0" fontId="34" fillId="0" borderId="0" xfId="93" applyFont="1" applyAlignment="1">
      <alignment horizontal="center"/>
    </xf>
    <xf numFmtId="0" fontId="35" fillId="0" borderId="0" xfId="0" applyFont="1"/>
    <xf numFmtId="0" fontId="24" fillId="0" borderId="55" xfId="0" applyFont="1" applyBorder="1" applyAlignment="1">
      <alignment horizontal="center"/>
    </xf>
    <xf numFmtId="0" fontId="24" fillId="0" borderId="56" xfId="0" applyFont="1" applyBorder="1" applyAlignment="1">
      <alignment horizontal="center"/>
    </xf>
    <xf numFmtId="0" fontId="24" fillId="0" borderId="57" xfId="0" applyFont="1" applyBorder="1" applyAlignment="1">
      <alignment horizontal="center"/>
    </xf>
    <xf numFmtId="0" fontId="14" fillId="0" borderId="39" xfId="0" applyFont="1" applyBorder="1" applyAlignment="1">
      <alignment wrapText="1"/>
    </xf>
    <xf numFmtId="0" fontId="14" fillId="0" borderId="49" xfId="0" applyFont="1" applyBorder="1" applyAlignment="1">
      <alignment horizontal="justify" wrapText="1"/>
    </xf>
    <xf numFmtId="0" fontId="3" fillId="0" borderId="58" xfId="0" applyFont="1" applyBorder="1" applyAlignment="1">
      <alignment horizontal="center"/>
    </xf>
    <xf numFmtId="0" fontId="13" fillId="0" borderId="35" xfId="0" applyFont="1" applyBorder="1" applyAlignment="1">
      <alignment horizontal="center"/>
    </xf>
    <xf numFmtId="0" fontId="13" fillId="0" borderId="35" xfId="0" applyFont="1" applyBorder="1" applyAlignment="1">
      <alignment horizontal="center" wrapText="1"/>
    </xf>
    <xf numFmtId="0" fontId="3" fillId="0" borderId="35" xfId="0" applyFont="1" applyBorder="1"/>
    <xf numFmtId="0" fontId="10" fillId="0" borderId="35" xfId="0" applyFont="1" applyBorder="1" applyAlignment="1">
      <alignment horizontal="center" vertical="center"/>
    </xf>
    <xf numFmtId="0" fontId="13" fillId="0" borderId="35" xfId="0" applyFont="1" applyBorder="1" applyAlignment="1">
      <alignment horizontal="center" vertical="center"/>
    </xf>
    <xf numFmtId="0" fontId="13" fillId="0" borderId="35" xfId="0" applyFont="1" applyBorder="1" applyAlignment="1">
      <alignment horizontal="center" vertical="center" wrapText="1"/>
    </xf>
    <xf numFmtId="0" fontId="10" fillId="0" borderId="51" xfId="0" applyFont="1" applyBorder="1" applyAlignment="1">
      <alignment horizontal="center" wrapText="1"/>
    </xf>
    <xf numFmtId="0" fontId="11" fillId="0" borderId="35" xfId="0" applyFont="1" applyBorder="1" applyAlignment="1">
      <alignment horizontal="center"/>
    </xf>
    <xf numFmtId="0" fontId="13" fillId="0" borderId="51" xfId="0" applyFont="1" applyBorder="1" applyAlignment="1">
      <alignment horizontal="center" vertical="center" wrapText="1"/>
    </xf>
    <xf numFmtId="0" fontId="22" fillId="0" borderId="35" xfId="0" applyFont="1" applyBorder="1" applyAlignment="1">
      <alignment horizontal="center" wrapText="1"/>
    </xf>
    <xf numFmtId="0" fontId="10" fillId="0" borderId="35" xfId="0" applyFont="1" applyBorder="1" applyAlignment="1">
      <alignment horizontal="center"/>
    </xf>
    <xf numFmtId="0" fontId="10" fillId="0" borderId="35" xfId="0" applyFont="1" applyBorder="1" applyAlignment="1">
      <alignment horizontal="center" wrapText="1"/>
    </xf>
    <xf numFmtId="0" fontId="3" fillId="0" borderId="59" xfId="0" applyFont="1" applyBorder="1" applyAlignment="1">
      <alignment horizontal="center"/>
    </xf>
    <xf numFmtId="0" fontId="11" fillId="0" borderId="35" xfId="0" applyFont="1" applyBorder="1"/>
    <xf numFmtId="0" fontId="11" fillId="0" borderId="0" xfId="0" applyFont="1"/>
    <xf numFmtId="0" fontId="10" fillId="0" borderId="35" xfId="0" applyFont="1" applyBorder="1" applyAlignment="1">
      <alignment horizontal="center" vertical="center" wrapText="1"/>
    </xf>
    <xf numFmtId="0" fontId="3" fillId="0" borderId="0" xfId="0" applyFont="1" applyAlignment="1">
      <alignment horizontal="center" vertical="center" wrapText="1"/>
    </xf>
    <xf numFmtId="0" fontId="23" fillId="0" borderId="0" xfId="0" applyFont="1"/>
    <xf numFmtId="0" fontId="11" fillId="0" borderId="0" xfId="0" applyFont="1" applyAlignment="1">
      <alignment horizontal="center" vertical="center" wrapText="1"/>
    </xf>
    <xf numFmtId="0" fontId="36" fillId="0" borderId="0" xfId="0" applyFont="1" applyAlignment="1">
      <alignment horizontal="center"/>
    </xf>
    <xf numFmtId="0" fontId="36" fillId="0" borderId="0" xfId="0" applyFont="1"/>
    <xf numFmtId="0" fontId="14" fillId="0" borderId="49" xfId="0" applyFont="1" applyBorder="1" applyAlignment="1">
      <alignment horizontal="left"/>
    </xf>
    <xf numFmtId="0" fontId="14" fillId="0" borderId="60" xfId="0" applyFont="1" applyBorder="1" applyAlignment="1">
      <alignment horizontal="left"/>
    </xf>
    <xf numFmtId="3" fontId="13" fillId="0" borderId="61" xfId="0" applyNumberFormat="1" applyFont="1" applyBorder="1" applyAlignment="1">
      <alignment horizontal="center"/>
    </xf>
    <xf numFmtId="3" fontId="13" fillId="0" borderId="62" xfId="0" applyNumberFormat="1" applyFont="1" applyBorder="1" applyAlignment="1">
      <alignment horizontal="center"/>
    </xf>
    <xf numFmtId="3" fontId="3" fillId="24" borderId="35" xfId="0" applyNumberFormat="1" applyFont="1" applyFill="1" applyBorder="1" applyAlignment="1">
      <alignment horizontal="center"/>
    </xf>
    <xf numFmtId="3" fontId="3" fillId="24" borderId="52" xfId="0" applyNumberFormat="1" applyFont="1" applyFill="1" applyBorder="1" applyAlignment="1">
      <alignment horizontal="center"/>
    </xf>
    <xf numFmtId="0" fontId="13" fillId="0" borderId="58" xfId="0" applyFont="1" applyBorder="1" applyAlignment="1">
      <alignment horizontal="center"/>
    </xf>
    <xf numFmtId="0" fontId="13" fillId="0" borderId="63" xfId="0" applyFont="1" applyBorder="1" applyAlignment="1">
      <alignment horizontal="center"/>
    </xf>
    <xf numFmtId="0" fontId="13" fillId="0" borderId="64" xfId="0" applyFont="1" applyBorder="1" applyAlignment="1">
      <alignment horizontal="center"/>
    </xf>
    <xf numFmtId="3" fontId="3" fillId="0" borderId="65" xfId="0" applyNumberFormat="1" applyFont="1" applyBorder="1" applyProtection="1">
      <protection locked="0"/>
    </xf>
    <xf numFmtId="3" fontId="3" fillId="0" borderId="66" xfId="0" applyNumberFormat="1" applyFont="1" applyBorder="1" applyProtection="1">
      <protection locked="0"/>
    </xf>
    <xf numFmtId="4" fontId="3" fillId="0" borderId="65" xfId="0" applyNumberFormat="1" applyFont="1" applyBorder="1" applyProtection="1">
      <protection locked="0"/>
    </xf>
    <xf numFmtId="3" fontId="3" fillId="0" borderId="67" xfId="0" applyNumberFormat="1" applyFont="1" applyBorder="1" applyProtection="1">
      <protection locked="0"/>
    </xf>
    <xf numFmtId="3" fontId="3" fillId="0" borderId="68" xfId="0" applyNumberFormat="1" applyFont="1" applyBorder="1" applyProtection="1">
      <protection locked="0"/>
    </xf>
    <xf numFmtId="3" fontId="15" fillId="0" borderId="70" xfId="0" applyNumberFormat="1" applyFont="1" applyBorder="1" applyProtection="1">
      <protection locked="0"/>
    </xf>
    <xf numFmtId="3" fontId="15" fillId="0" borderId="71" xfId="0" applyNumberFormat="1" applyFont="1" applyBorder="1" applyProtection="1">
      <protection locked="0"/>
    </xf>
    <xf numFmtId="3" fontId="15" fillId="0" borderId="72" xfId="0" applyNumberFormat="1" applyFont="1" applyBorder="1" applyProtection="1">
      <protection locked="0"/>
    </xf>
    <xf numFmtId="3" fontId="15" fillId="0" borderId="73" xfId="0" applyNumberFormat="1" applyFont="1" applyBorder="1" applyProtection="1">
      <protection locked="0"/>
    </xf>
    <xf numFmtId="0" fontId="14" fillId="0" borderId="18" xfId="0" applyFont="1" applyBorder="1" applyAlignment="1">
      <alignment horizontal="justify"/>
    </xf>
    <xf numFmtId="0" fontId="13" fillId="0" borderId="74" xfId="0" applyFont="1" applyBorder="1" applyAlignment="1">
      <alignment horizontal="center" vertical="center" wrapText="1"/>
    </xf>
    <xf numFmtId="0" fontId="13" fillId="0" borderId="75" xfId="0" applyFont="1" applyBorder="1" applyAlignment="1">
      <alignment horizontal="center" vertical="center" wrapText="1"/>
    </xf>
    <xf numFmtId="0" fontId="13" fillId="0" borderId="76" xfId="0" applyFont="1" applyBorder="1" applyAlignment="1">
      <alignment horizontal="center" vertical="center" wrapText="1"/>
    </xf>
    <xf numFmtId="0" fontId="3" fillId="0" borderId="13" xfId="0" applyFont="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xf>
    <xf numFmtId="3" fontId="3" fillId="0" borderId="18" xfId="93" applyNumberFormat="1" applyFont="1" applyBorder="1" applyProtection="1">
      <protection locked="0"/>
    </xf>
    <xf numFmtId="3" fontId="3" fillId="0" borderId="80" xfId="93" applyNumberFormat="1" applyFont="1" applyBorder="1" applyProtection="1">
      <protection locked="0"/>
    </xf>
    <xf numFmtId="3" fontId="3" fillId="0" borderId="65" xfId="93" applyNumberFormat="1" applyFont="1" applyBorder="1" applyProtection="1">
      <protection locked="0"/>
    </xf>
    <xf numFmtId="3" fontId="3" fillId="0" borderId="18" xfId="94" applyNumberFormat="1" applyFont="1" applyBorder="1" applyProtection="1">
      <protection locked="0"/>
    </xf>
    <xf numFmtId="3" fontId="3" fillId="0" borderId="80" xfId="94" applyNumberFormat="1" applyFont="1" applyBorder="1" applyProtection="1">
      <protection locked="0"/>
    </xf>
    <xf numFmtId="3" fontId="3" fillId="0" borderId="65" xfId="94" applyNumberFormat="1" applyFont="1" applyBorder="1" applyProtection="1">
      <protection locked="0"/>
    </xf>
    <xf numFmtId="0" fontId="3" fillId="0" borderId="81" xfId="0" applyFont="1" applyBorder="1" applyAlignment="1">
      <alignment horizontal="center"/>
    </xf>
    <xf numFmtId="3" fontId="3" fillId="0" borderId="48" xfId="93" applyNumberFormat="1" applyFont="1" applyBorder="1" applyProtection="1">
      <protection locked="0"/>
    </xf>
    <xf numFmtId="3" fontId="3" fillId="0" borderId="82" xfId="93" applyNumberFormat="1" applyFont="1" applyBorder="1" applyProtection="1">
      <protection locked="0"/>
    </xf>
    <xf numFmtId="3" fontId="3" fillId="0" borderId="84" xfId="93" applyNumberFormat="1" applyFont="1" applyBorder="1" applyProtection="1">
      <protection locked="0"/>
    </xf>
    <xf numFmtId="3" fontId="3" fillId="0" borderId="65" xfId="95" applyNumberFormat="1" applyFont="1" applyBorder="1" applyProtection="1">
      <protection locked="0"/>
    </xf>
    <xf numFmtId="3" fontId="3" fillId="0" borderId="48" xfId="95" applyNumberFormat="1" applyFont="1" applyBorder="1" applyProtection="1">
      <protection locked="0"/>
    </xf>
    <xf numFmtId="3" fontId="3" fillId="0" borderId="80" xfId="95" applyNumberFormat="1" applyFont="1" applyBorder="1" applyProtection="1">
      <protection locked="0"/>
    </xf>
    <xf numFmtId="3" fontId="3" fillId="0" borderId="58" xfId="95" applyNumberFormat="1" applyFont="1" applyBorder="1" applyProtection="1">
      <protection locked="0"/>
    </xf>
    <xf numFmtId="3" fontId="3" fillId="0" borderId="82" xfId="95" applyNumberFormat="1" applyFont="1" applyBorder="1" applyProtection="1">
      <protection locked="0"/>
    </xf>
    <xf numFmtId="3" fontId="3" fillId="0" borderId="17" xfId="95" applyNumberFormat="1" applyFont="1" applyBorder="1" applyProtection="1">
      <protection locked="0"/>
    </xf>
    <xf numFmtId="3" fontId="3" fillId="0" borderId="85" xfId="95" applyNumberFormat="1" applyFont="1" applyBorder="1" applyProtection="1">
      <protection locked="0"/>
    </xf>
    <xf numFmtId="0" fontId="20" fillId="0" borderId="31" xfId="0" applyFont="1" applyBorder="1" applyAlignment="1">
      <alignment horizontal="center"/>
    </xf>
    <xf numFmtId="0" fontId="20" fillId="0" borderId="32" xfId="0" applyFont="1" applyBorder="1" applyAlignment="1">
      <alignment horizontal="center"/>
    </xf>
    <xf numFmtId="0" fontId="25" fillId="0" borderId="89" xfId="0" applyFont="1" applyBorder="1" applyAlignment="1">
      <alignment horizontal="center" textRotation="255" wrapText="1"/>
    </xf>
    <xf numFmtId="0" fontId="25" fillId="0" borderId="90" xfId="0" applyFont="1" applyBorder="1" applyAlignment="1">
      <alignment horizontal="center" textRotation="255" wrapText="1"/>
    </xf>
    <xf numFmtId="0" fontId="25" fillId="0" borderId="90" xfId="0" quotePrefix="1" applyFont="1" applyBorder="1" applyAlignment="1">
      <alignment horizontal="center" textRotation="255" wrapText="1"/>
    </xf>
    <xf numFmtId="3" fontId="3" fillId="0" borderId="82" xfId="0" applyNumberFormat="1" applyFont="1" applyBorder="1" applyProtection="1">
      <protection locked="0"/>
    </xf>
    <xf numFmtId="3" fontId="3" fillId="0" borderId="51" xfId="0" applyNumberFormat="1" applyFont="1" applyBorder="1" applyProtection="1">
      <protection locked="0"/>
    </xf>
    <xf numFmtId="3" fontId="3" fillId="0" borderId="48" xfId="0" applyNumberFormat="1" applyFont="1" applyBorder="1" applyProtection="1">
      <protection locked="0"/>
    </xf>
    <xf numFmtId="3" fontId="3" fillId="0" borderId="84" xfId="0" applyNumberFormat="1" applyFont="1" applyBorder="1" applyProtection="1">
      <protection locked="0"/>
    </xf>
    <xf numFmtId="3" fontId="3" fillId="0" borderId="35" xfId="0" applyNumberFormat="1" applyFont="1" applyBorder="1" applyProtection="1">
      <protection locked="0"/>
    </xf>
    <xf numFmtId="3" fontId="3" fillId="0" borderId="59" xfId="0" applyNumberFormat="1" applyFont="1" applyBorder="1" applyProtection="1">
      <protection locked="0"/>
    </xf>
    <xf numFmtId="3" fontId="3" fillId="0" borderId="79" xfId="0" applyNumberFormat="1" applyFont="1" applyBorder="1" applyProtection="1">
      <protection locked="0"/>
    </xf>
    <xf numFmtId="3" fontId="3" fillId="0" borderId="91" xfId="0" applyNumberFormat="1" applyFont="1" applyBorder="1" applyProtection="1">
      <protection locked="0"/>
    </xf>
    <xf numFmtId="3" fontId="3" fillId="0" borderId="56" xfId="0" applyNumberFormat="1" applyFont="1" applyBorder="1" applyProtection="1">
      <protection locked="0"/>
    </xf>
    <xf numFmtId="3" fontId="3" fillId="0" borderId="65" xfId="96" applyNumberFormat="1" applyFont="1" applyBorder="1" applyProtection="1">
      <protection locked="0"/>
    </xf>
    <xf numFmtId="3" fontId="3" fillId="0" borderId="48" xfId="96" applyNumberFormat="1" applyFont="1" applyBorder="1" applyProtection="1">
      <protection locked="0"/>
    </xf>
    <xf numFmtId="3" fontId="3" fillId="0" borderId="80" xfId="96" applyNumberFormat="1" applyFont="1" applyBorder="1" applyProtection="1">
      <protection locked="0"/>
    </xf>
    <xf numFmtId="3" fontId="3" fillId="0" borderId="58" xfId="96" applyNumberFormat="1" applyFont="1" applyBorder="1" applyProtection="1">
      <protection locked="0"/>
    </xf>
    <xf numFmtId="3" fontId="3" fillId="0" borderId="82" xfId="96" applyNumberFormat="1" applyFont="1" applyBorder="1" applyProtection="1">
      <protection locked="0"/>
    </xf>
    <xf numFmtId="3" fontId="3" fillId="0" borderId="81" xfId="96" applyNumberFormat="1" applyFont="1" applyBorder="1" applyProtection="1">
      <protection locked="0"/>
    </xf>
    <xf numFmtId="0" fontId="13" fillId="0" borderId="11" xfId="97" applyFont="1" applyBorder="1" applyAlignment="1">
      <alignment horizontal="center"/>
    </xf>
    <xf numFmtId="0" fontId="6" fillId="0" borderId="92" xfId="0" applyFont="1" applyBorder="1" applyAlignment="1">
      <alignment horizontal="centerContinuous" vertical="center"/>
    </xf>
    <xf numFmtId="0" fontId="6" fillId="0" borderId="27" xfId="0" applyFont="1" applyBorder="1" applyAlignment="1">
      <alignment horizontal="centerContinuous" vertical="center" wrapText="1"/>
    </xf>
    <xf numFmtId="0" fontId="39" fillId="0" borderId="32" xfId="0" applyFont="1" applyBorder="1"/>
    <xf numFmtId="0" fontId="39" fillId="0" borderId="31" xfId="0" applyFont="1" applyBorder="1" applyAlignment="1">
      <alignment horizontal="center"/>
    </xf>
    <xf numFmtId="0" fontId="39" fillId="0" borderId="32" xfId="0" applyFont="1" applyBorder="1" applyAlignment="1">
      <alignment horizontal="center"/>
    </xf>
    <xf numFmtId="0" fontId="39" fillId="0" borderId="33" xfId="0" applyFont="1" applyBorder="1" applyAlignment="1">
      <alignment horizontal="center"/>
    </xf>
    <xf numFmtId="0" fontId="39" fillId="0" borderId="93" xfId="0" applyFont="1" applyBorder="1" applyAlignment="1">
      <alignment horizontal="center"/>
    </xf>
    <xf numFmtId="0" fontId="39" fillId="0" borderId="0" xfId="0" applyFont="1"/>
    <xf numFmtId="0" fontId="3" fillId="0" borderId="14" xfId="0" applyFont="1" applyBorder="1"/>
    <xf numFmtId="0" fontId="3" fillId="0" borderId="36" xfId="0" applyFont="1" applyBorder="1"/>
    <xf numFmtId="3" fontId="3" fillId="0" borderId="94" xfId="98" applyNumberFormat="1" applyFont="1" applyBorder="1" applyProtection="1">
      <protection locked="0"/>
    </xf>
    <xf numFmtId="3" fontId="3" fillId="0" borderId="81" xfId="98" applyNumberFormat="1" applyFont="1" applyBorder="1" applyProtection="1">
      <protection locked="0"/>
    </xf>
    <xf numFmtId="3" fontId="3" fillId="0" borderId="84" xfId="98" applyNumberFormat="1" applyFont="1" applyBorder="1" applyProtection="1">
      <protection locked="0"/>
    </xf>
    <xf numFmtId="3" fontId="3" fillId="0" borderId="79" xfId="98" applyNumberFormat="1" applyFont="1" applyBorder="1" applyProtection="1">
      <protection locked="0"/>
    </xf>
    <xf numFmtId="0" fontId="18" fillId="0" borderId="83" xfId="98" applyFont="1" applyBorder="1" applyAlignment="1">
      <alignment horizontal="centerContinuous" vertical="center"/>
    </xf>
    <xf numFmtId="0" fontId="10" fillId="0" borderId="10" xfId="97" applyFont="1" applyBorder="1" applyAlignment="1">
      <alignment horizontal="centerContinuous"/>
    </xf>
    <xf numFmtId="0" fontId="10" fillId="0" borderId="95" xfId="96" applyFont="1" applyBorder="1" applyAlignment="1">
      <alignment horizontal="center" vertical="center"/>
    </xf>
    <xf numFmtId="0" fontId="10" fillId="0" borderId="95" xfId="95" applyFont="1" applyBorder="1" applyAlignment="1">
      <alignment horizontal="center" vertical="center"/>
    </xf>
    <xf numFmtId="0" fontId="10" fillId="0" borderId="95" xfId="94" applyFont="1" applyBorder="1" applyAlignment="1">
      <alignment horizontal="center" vertical="center"/>
    </xf>
    <xf numFmtId="0" fontId="10" fillId="0" borderId="95" xfId="93" applyFont="1" applyBorder="1" applyAlignment="1">
      <alignment horizontal="center" vertical="center"/>
    </xf>
    <xf numFmtId="0" fontId="10" fillId="0" borderId="21" xfId="93" applyFont="1" applyBorder="1" applyAlignment="1">
      <alignment horizontal="center" vertical="center"/>
    </xf>
    <xf numFmtId="0" fontId="11" fillId="0" borderId="30" xfId="93" applyFont="1" applyBorder="1" applyAlignment="1">
      <alignment horizontal="center"/>
    </xf>
    <xf numFmtId="0" fontId="11" fillId="0" borderId="96" xfId="0" applyFont="1" applyBorder="1" applyAlignment="1">
      <alignment horizontal="center"/>
    </xf>
    <xf numFmtId="0" fontId="11" fillId="0" borderId="97" xfId="0" applyFont="1" applyBorder="1" applyAlignment="1">
      <alignment horizontal="center"/>
    </xf>
    <xf numFmtId="0" fontId="39" fillId="0" borderId="47" xfId="98" applyFont="1" applyBorder="1" applyAlignment="1">
      <alignment horizontal="centerContinuous"/>
    </xf>
    <xf numFmtId="0" fontId="39" fillId="0" borderId="98" xfId="98" applyFont="1" applyBorder="1" applyAlignment="1">
      <alignment horizontal="center"/>
    </xf>
    <xf numFmtId="0" fontId="39" fillId="0" borderId="25" xfId="98" applyFont="1" applyBorder="1" applyAlignment="1">
      <alignment horizontal="center"/>
    </xf>
    <xf numFmtId="0" fontId="39" fillId="0" borderId="0" xfId="98" applyFont="1"/>
    <xf numFmtId="0" fontId="39" fillId="0" borderId="30" xfId="0" applyFont="1" applyBorder="1" applyAlignment="1">
      <alignment horizontal="center"/>
    </xf>
    <xf numFmtId="0" fontId="32" fillId="0" borderId="31" xfId="0" applyFont="1" applyBorder="1" applyAlignment="1">
      <alignment horizontal="center"/>
    </xf>
    <xf numFmtId="0" fontId="32" fillId="0" borderId="99" xfId="0" applyFont="1" applyBorder="1" applyAlignment="1">
      <alignment horizontal="center"/>
    </xf>
    <xf numFmtId="0" fontId="10" fillId="0" borderId="20" xfId="0" applyFont="1" applyBorder="1" applyAlignment="1">
      <alignment horizontal="centerContinuous"/>
    </xf>
    <xf numFmtId="0" fontId="13" fillId="0" borderId="100" xfId="0" applyFont="1" applyBorder="1" applyAlignment="1">
      <alignment horizontal="center"/>
    </xf>
    <xf numFmtId="0" fontId="6" fillId="0" borderId="101" xfId="0" applyFont="1" applyBorder="1" applyAlignment="1">
      <alignment horizontal="center" vertical="center"/>
    </xf>
    <xf numFmtId="0" fontId="13" fillId="0" borderId="102" xfId="0" applyFont="1" applyBorder="1" applyAlignment="1">
      <alignment horizontal="centerContinuous" vertical="center" wrapText="1"/>
    </xf>
    <xf numFmtId="0" fontId="2" fillId="0" borderId="103" xfId="98" applyFont="1" applyBorder="1" applyAlignment="1">
      <alignment horizontal="left" vertical="top"/>
    </xf>
    <xf numFmtId="0" fontId="13" fillId="0" borderId="53" xfId="93" applyFont="1" applyBorder="1" applyAlignment="1">
      <alignment horizontal="right"/>
    </xf>
    <xf numFmtId="0" fontId="6" fillId="0" borderId="77" xfId="0" applyFont="1" applyBorder="1" applyAlignment="1">
      <alignment horizontal="right" vertical="center"/>
    </xf>
    <xf numFmtId="0" fontId="13" fillId="0" borderId="70" xfId="0" applyFont="1" applyBorder="1" applyAlignment="1">
      <alignment horizontal="centerContinuous" vertical="center"/>
    </xf>
    <xf numFmtId="0" fontId="20" fillId="0" borderId="33" xfId="0" applyFont="1" applyBorder="1" applyAlignment="1">
      <alignment horizontal="center"/>
    </xf>
    <xf numFmtId="0" fontId="3" fillId="0" borderId="11" xfId="98" applyFont="1" applyBorder="1" applyAlignment="1">
      <alignment horizontal="center"/>
    </xf>
    <xf numFmtId="0" fontId="13" fillId="0" borderId="14" xfId="98" applyFont="1" applyBorder="1" applyAlignment="1">
      <alignment horizontal="centerContinuous" vertical="center"/>
    </xf>
    <xf numFmtId="0" fontId="13" fillId="0" borderId="36" xfId="98" applyFont="1" applyBorder="1" applyAlignment="1">
      <alignment horizontal="centerContinuous" vertical="center"/>
    </xf>
    <xf numFmtId="0" fontId="6" fillId="0" borderId="14" xfId="93" applyFont="1" applyBorder="1" applyAlignment="1">
      <alignment horizontal="centerContinuous" vertical="center"/>
    </xf>
    <xf numFmtId="0" fontId="3" fillId="0" borderId="103" xfId="0" applyFont="1" applyBorder="1" applyAlignment="1">
      <alignment horizontal="centerContinuous"/>
    </xf>
    <xf numFmtId="0" fontId="7" fillId="0" borderId="0" xfId="0" applyFont="1" applyAlignment="1">
      <alignment horizontal="left" vertical="top"/>
    </xf>
    <xf numFmtId="0" fontId="27" fillId="0" borderId="0" xfId="0" applyFont="1" applyAlignment="1">
      <alignment horizontal="right" vertical="top"/>
    </xf>
    <xf numFmtId="0" fontId="6" fillId="0" borderId="14" xfId="0" applyFont="1" applyBorder="1" applyAlignment="1">
      <alignment horizontal="centerContinuous" vertical="center"/>
    </xf>
    <xf numFmtId="0" fontId="23" fillId="0" borderId="0" xfId="0" applyFont="1" applyAlignment="1">
      <alignment horizontal="center"/>
    </xf>
    <xf numFmtId="0" fontId="7" fillId="0" borderId="0" xfId="0" applyFont="1" applyAlignment="1">
      <alignment vertical="top" wrapText="1"/>
    </xf>
    <xf numFmtId="0" fontId="28" fillId="0" borderId="0" xfId="0" applyFont="1" applyAlignment="1">
      <alignment vertical="center" wrapText="1"/>
    </xf>
    <xf numFmtId="0" fontId="33" fillId="0" borderId="0" xfId="0" applyFont="1"/>
    <xf numFmtId="0" fontId="23" fillId="0" borderId="0" xfId="0" applyFont="1" applyAlignment="1">
      <alignment horizontal="left"/>
    </xf>
    <xf numFmtId="38" fontId="14" fillId="0" borderId="51" xfId="60" applyNumberFormat="1" applyFont="1" applyBorder="1"/>
    <xf numFmtId="38" fontId="14" fillId="0" borderId="35" xfId="60" applyNumberFormat="1" applyFont="1" applyBorder="1"/>
    <xf numFmtId="38" fontId="14" fillId="0" borderId="63" xfId="60" applyNumberFormat="1" applyFont="1" applyBorder="1"/>
    <xf numFmtId="0" fontId="14" fillId="0" borderId="35" xfId="0" applyFont="1" applyBorder="1" applyAlignment="1">
      <alignment horizontal="center"/>
    </xf>
    <xf numFmtId="0" fontId="14" fillId="0" borderId="51" xfId="0" applyFont="1" applyBorder="1" applyAlignment="1">
      <alignment horizontal="center"/>
    </xf>
    <xf numFmtId="3" fontId="3" fillId="24" borderId="65" xfId="0" applyNumberFormat="1" applyFont="1" applyFill="1" applyBorder="1" applyProtection="1">
      <protection locked="0"/>
    </xf>
    <xf numFmtId="3" fontId="3" fillId="24" borderId="48" xfId="0" applyNumberFormat="1" applyFont="1" applyFill="1" applyBorder="1" applyProtection="1">
      <protection locked="0"/>
    </xf>
    <xf numFmtId="3" fontId="3" fillId="24" borderId="79" xfId="0" applyNumberFormat="1" applyFont="1" applyFill="1" applyBorder="1" applyProtection="1">
      <protection locked="0"/>
    </xf>
    <xf numFmtId="0" fontId="40" fillId="0" borderId="103" xfId="0" applyFont="1" applyBorder="1" applyAlignment="1">
      <alignment horizontal="right" vertical="center" wrapText="1"/>
    </xf>
    <xf numFmtId="3" fontId="3" fillId="0" borderId="16" xfId="97" applyNumberFormat="1" applyFont="1" applyBorder="1" applyProtection="1">
      <protection locked="0"/>
    </xf>
    <xf numFmtId="3" fontId="3" fillId="0" borderId="106" xfId="97" applyNumberFormat="1" applyFont="1" applyBorder="1" applyProtection="1">
      <protection locked="0"/>
    </xf>
    <xf numFmtId="3" fontId="3" fillId="0" borderId="81" xfId="97" applyNumberFormat="1" applyFont="1" applyBorder="1" applyProtection="1">
      <protection locked="0"/>
    </xf>
    <xf numFmtId="3" fontId="3" fillId="0" borderId="107" xfId="97" applyNumberFormat="1" applyFont="1" applyBorder="1" applyProtection="1">
      <protection locked="0"/>
    </xf>
    <xf numFmtId="3" fontId="3" fillId="0" borderId="17" xfId="97" applyNumberFormat="1" applyFont="1" applyBorder="1" applyProtection="1">
      <protection locked="0"/>
    </xf>
    <xf numFmtId="3" fontId="3" fillId="0" borderId="65" xfId="97" applyNumberFormat="1" applyFont="1" applyBorder="1" applyProtection="1">
      <protection locked="0"/>
    </xf>
    <xf numFmtId="3" fontId="3" fillId="0" borderId="58" xfId="97" applyNumberFormat="1" applyFont="1" applyBorder="1" applyProtection="1">
      <protection locked="0"/>
    </xf>
    <xf numFmtId="3" fontId="3" fillId="0" borderId="48" xfId="97" applyNumberFormat="1" applyFont="1" applyBorder="1" applyProtection="1">
      <protection locked="0"/>
    </xf>
    <xf numFmtId="3" fontId="3" fillId="0" borderId="82" xfId="97" applyNumberFormat="1" applyFont="1" applyBorder="1" applyProtection="1">
      <protection locked="0"/>
    </xf>
    <xf numFmtId="3" fontId="3" fillId="0" borderId="85" xfId="97" applyNumberFormat="1" applyFont="1" applyBorder="1" applyProtection="1">
      <protection locked="0"/>
    </xf>
    <xf numFmtId="3" fontId="3" fillId="24" borderId="35" xfId="0" applyNumberFormat="1" applyFont="1" applyFill="1" applyBorder="1"/>
    <xf numFmtId="3" fontId="3" fillId="0" borderId="35" xfId="0" applyNumberFormat="1" applyFont="1" applyBorder="1"/>
    <xf numFmtId="40" fontId="14" fillId="0" borderId="35" xfId="60" applyFont="1" applyBorder="1" applyAlignment="1"/>
    <xf numFmtId="38" fontId="14" fillId="0" borderId="35" xfId="60" applyNumberFormat="1" applyFont="1" applyBorder="1" applyAlignment="1"/>
    <xf numFmtId="4" fontId="14" fillId="0" borderId="35" xfId="0" applyNumberFormat="1" applyFont="1" applyBorder="1"/>
    <xf numFmtId="10" fontId="14" fillId="0" borderId="35" xfId="103" applyNumberFormat="1" applyFont="1" applyBorder="1" applyAlignment="1"/>
    <xf numFmtId="0" fontId="14" fillId="0" borderId="108" xfId="0" applyFont="1" applyBorder="1" applyAlignment="1">
      <alignment horizontal="center" vertical="center" wrapText="1"/>
    </xf>
    <xf numFmtId="0" fontId="13" fillId="0" borderId="0" xfId="0" applyFont="1"/>
    <xf numFmtId="0" fontId="7" fillId="0" borderId="0" xfId="0" applyFont="1" applyAlignment="1">
      <alignment horizontal="left" vertical="top" wrapText="1"/>
    </xf>
    <xf numFmtId="164" fontId="41" fillId="0" borderId="0" xfId="90" applyAlignment="1">
      <alignment vertical="center"/>
    </xf>
    <xf numFmtId="164" fontId="42" fillId="0" borderId="0" xfId="90" applyFont="1" applyAlignment="1">
      <alignment vertical="center"/>
    </xf>
    <xf numFmtId="164" fontId="24" fillId="0" borderId="0" xfId="90" applyFont="1" applyAlignment="1">
      <alignment horizontal="left" vertical="center"/>
    </xf>
    <xf numFmtId="164" fontId="14" fillId="0" borderId="0" xfId="90" applyFont="1" applyAlignment="1">
      <alignment horizontal="left" vertical="top"/>
    </xf>
    <xf numFmtId="164" fontId="46" fillId="0" borderId="0" xfId="90" applyFont="1" applyAlignment="1">
      <alignment vertical="top"/>
    </xf>
    <xf numFmtId="164" fontId="46" fillId="0" borderId="0" xfId="90" applyFont="1" applyAlignment="1">
      <alignment vertical="center"/>
    </xf>
    <xf numFmtId="164" fontId="41" fillId="0" borderId="0" xfId="92" applyNumberFormat="1" applyFont="1" applyAlignment="1">
      <alignment vertical="center"/>
    </xf>
    <xf numFmtId="164" fontId="48" fillId="0" borderId="0" xfId="90" applyFont="1" applyAlignment="1">
      <alignment vertical="center"/>
    </xf>
    <xf numFmtId="164" fontId="9" fillId="0" borderId="0" xfId="90" applyFont="1" applyAlignment="1">
      <alignment horizontal="left" vertical="center"/>
    </xf>
    <xf numFmtId="0" fontId="50" fillId="0" borderId="81" xfId="0" applyFont="1" applyBorder="1" applyAlignment="1">
      <alignment horizontal="center"/>
    </xf>
    <xf numFmtId="0" fontId="50" fillId="0" borderId="48" xfId="0" applyFont="1" applyBorder="1" applyAlignment="1">
      <alignment horizontal="center"/>
    </xf>
    <xf numFmtId="0" fontId="50" fillId="0" borderId="48" xfId="0" quotePrefix="1" applyFont="1" applyBorder="1" applyAlignment="1">
      <alignment horizontal="center"/>
    </xf>
    <xf numFmtId="3" fontId="3" fillId="0" borderId="0" xfId="0" applyNumberFormat="1" applyFont="1" applyAlignment="1">
      <alignment horizontal="center"/>
    </xf>
    <xf numFmtId="3" fontId="3" fillId="0" borderId="0" xfId="0" applyNumberFormat="1" applyFont="1"/>
    <xf numFmtId="4" fontId="51" fillId="0" borderId="35" xfId="0" applyNumberFormat="1" applyFont="1" applyBorder="1" applyAlignment="1">
      <alignment horizontal="center"/>
    </xf>
    <xf numFmtId="3" fontId="13" fillId="0" borderId="35" xfId="0" applyNumberFormat="1" applyFont="1" applyBorder="1"/>
    <xf numFmtId="0" fontId="3" fillId="0" borderId="37" xfId="0" applyFont="1" applyBorder="1" applyAlignment="1">
      <alignment horizontal="centerContinuous"/>
    </xf>
    <xf numFmtId="0" fontId="3" fillId="0" borderId="109" xfId="0" applyFont="1" applyBorder="1" applyAlignment="1">
      <alignment horizontal="center"/>
    </xf>
    <xf numFmtId="164" fontId="24" fillId="0" borderId="0" xfId="90" applyFont="1" applyAlignment="1">
      <alignment vertical="center"/>
    </xf>
    <xf numFmtId="164" fontId="43" fillId="0" borderId="0" xfId="90" applyFont="1" applyAlignment="1">
      <alignment vertical="center"/>
    </xf>
    <xf numFmtId="0" fontId="14" fillId="0" borderId="0" xfId="87" applyFont="1" applyAlignment="1">
      <alignment vertical="center"/>
    </xf>
    <xf numFmtId="164" fontId="14" fillId="0" borderId="0" xfId="90" applyFont="1" applyAlignment="1">
      <alignment vertical="top"/>
    </xf>
    <xf numFmtId="164" fontId="13" fillId="0" borderId="0" xfId="90" applyFont="1" applyAlignment="1">
      <alignment vertical="center"/>
    </xf>
    <xf numFmtId="164" fontId="14" fillId="0" borderId="0" xfId="90" applyFont="1" applyAlignment="1">
      <alignment vertical="center"/>
    </xf>
    <xf numFmtId="164" fontId="47" fillId="0" borderId="0" xfId="90" applyFont="1" applyAlignment="1">
      <alignment horizontal="left" vertical="center" wrapText="1"/>
    </xf>
    <xf numFmtId="0" fontId="45" fillId="0" borderId="0" xfId="87" applyFont="1" applyAlignment="1">
      <alignment horizontal="left" vertical="center"/>
    </xf>
    <xf numFmtId="0" fontId="26" fillId="0" borderId="0" xfId="87" applyFont="1" applyAlignment="1">
      <alignment horizontal="center" vertical="center"/>
    </xf>
    <xf numFmtId="164" fontId="9" fillId="0" borderId="0" xfId="92" applyNumberFormat="1" applyFont="1" applyAlignment="1">
      <alignment vertical="center"/>
    </xf>
    <xf numFmtId="164" fontId="23" fillId="0" borderId="0" xfId="92" applyNumberFormat="1" applyFont="1" applyAlignment="1">
      <alignment vertical="center"/>
    </xf>
    <xf numFmtId="164" fontId="24" fillId="0" borderId="0" xfId="92" applyNumberFormat="1" applyFont="1" applyAlignment="1">
      <alignment vertical="center"/>
    </xf>
    <xf numFmtId="0" fontId="22" fillId="0" borderId="0" xfId="0" applyFont="1" applyAlignment="1">
      <alignment horizontal="center" vertical="top"/>
    </xf>
    <xf numFmtId="0" fontId="15" fillId="0" borderId="0" xfId="92"/>
    <xf numFmtId="164" fontId="22" fillId="0" borderId="35" xfId="90" applyFont="1" applyBorder="1" applyAlignment="1">
      <alignment horizontal="center" vertical="center"/>
    </xf>
    <xf numFmtId="0" fontId="30" fillId="0" borderId="0" xfId="88" applyAlignment="1">
      <alignment vertical="center"/>
    </xf>
    <xf numFmtId="164" fontId="49" fillId="0" borderId="0" xfId="90" applyFont="1" applyAlignment="1">
      <alignment vertical="center"/>
    </xf>
    <xf numFmtId="167" fontId="42" fillId="0" borderId="0" xfId="90" applyNumberFormat="1" applyFont="1" applyAlignment="1">
      <alignment vertical="center"/>
    </xf>
    <xf numFmtId="164" fontId="53" fillId="0" borderId="0" xfId="90" applyFont="1" applyAlignment="1">
      <alignment vertical="center"/>
    </xf>
    <xf numFmtId="167" fontId="41" fillId="0" borderId="0" xfId="90" applyNumberFormat="1" applyAlignment="1" applyProtection="1">
      <alignment vertical="center"/>
      <protection locked="0"/>
    </xf>
    <xf numFmtId="0" fontId="3" fillId="0" borderId="81" xfId="98" applyFont="1" applyBorder="1" applyAlignment="1">
      <alignment horizontal="centerContinuous" vertical="center" wrapText="1"/>
    </xf>
    <xf numFmtId="0" fontId="17" fillId="0" borderId="94" xfId="98" applyFont="1" applyBorder="1" applyAlignment="1">
      <alignment horizontal="centerContinuous" vertical="center" wrapText="1"/>
    </xf>
    <xf numFmtId="0" fontId="17" fillId="0" borderId="86" xfId="98" applyFont="1" applyBorder="1" applyAlignment="1">
      <alignment horizontal="centerContinuous" vertical="center" wrapText="1"/>
    </xf>
    <xf numFmtId="0" fontId="18" fillId="0" borderId="110" xfId="98" applyFont="1" applyBorder="1" applyAlignment="1">
      <alignment horizontal="centerContinuous" vertical="center"/>
    </xf>
    <xf numFmtId="1" fontId="3" fillId="0" borderId="0" xfId="0" applyNumberFormat="1" applyFont="1"/>
    <xf numFmtId="1" fontId="13" fillId="0" borderId="35" xfId="0" applyNumberFormat="1" applyFont="1" applyBorder="1" applyAlignment="1">
      <alignment horizontal="center" vertical="center" wrapText="1"/>
    </xf>
    <xf numFmtId="1" fontId="10" fillId="0" borderId="35" xfId="0" applyNumberFormat="1" applyFont="1" applyBorder="1" applyAlignment="1">
      <alignment horizontal="center" vertical="center" wrapText="1"/>
    </xf>
    <xf numFmtId="1" fontId="3" fillId="0" borderId="0" xfId="0" applyNumberFormat="1" applyFont="1" applyAlignment="1">
      <alignment horizontal="center"/>
    </xf>
    <xf numFmtId="3" fontId="13" fillId="0" borderId="35" xfId="0" applyNumberFormat="1" applyFont="1" applyBorder="1" applyAlignment="1">
      <alignment horizontal="center" vertical="center" wrapText="1"/>
    </xf>
    <xf numFmtId="3" fontId="10" fillId="0" borderId="35" xfId="0" applyNumberFormat="1" applyFont="1" applyBorder="1" applyAlignment="1">
      <alignment horizontal="center" vertical="center" wrapText="1"/>
    </xf>
    <xf numFmtId="0" fontId="54" fillId="0" borderId="0" xfId="0" applyFont="1"/>
    <xf numFmtId="38" fontId="54" fillId="0" borderId="0" xfId="0" applyNumberFormat="1" applyFont="1"/>
    <xf numFmtId="0" fontId="55" fillId="0" borderId="0" xfId="0" applyFont="1"/>
    <xf numFmtId="0" fontId="30" fillId="0" borderId="0" xfId="0" applyFont="1"/>
    <xf numFmtId="0" fontId="56" fillId="0" borderId="0" xfId="0" applyFont="1"/>
    <xf numFmtId="10" fontId="30" fillId="0" borderId="97" xfId="103" applyNumberFormat="1" applyFont="1" applyBorder="1" applyAlignment="1">
      <alignment horizontal="center"/>
    </xf>
    <xf numFmtId="10" fontId="30" fillId="0" borderId="72" xfId="103" applyNumberFormat="1" applyFont="1" applyBorder="1" applyAlignment="1">
      <alignment horizontal="center"/>
    </xf>
    <xf numFmtId="10" fontId="30" fillId="0" borderId="111" xfId="103" applyNumberFormat="1" applyFont="1" applyBorder="1" applyAlignment="1">
      <alignment horizontal="center"/>
    </xf>
    <xf numFmtId="10" fontId="31" fillId="0" borderId="63" xfId="103" applyNumberFormat="1" applyFont="1" applyBorder="1" applyAlignment="1">
      <alignment horizontal="center" wrapText="1"/>
    </xf>
    <xf numFmtId="10" fontId="30" fillId="0" borderId="63" xfId="103" applyNumberFormat="1" applyFont="1" applyBorder="1" applyAlignment="1">
      <alignment horizontal="center"/>
    </xf>
    <xf numFmtId="10" fontId="30" fillId="0" borderId="58" xfId="103" applyNumberFormat="1" applyFont="1" applyBorder="1" applyAlignment="1">
      <alignment horizontal="center"/>
    </xf>
    <xf numFmtId="168" fontId="3" fillId="24" borderId="65" xfId="0" applyNumberFormat="1" applyFont="1" applyFill="1" applyBorder="1"/>
    <xf numFmtId="168" fontId="3" fillId="24" borderId="97" xfId="0" applyNumberFormat="1" applyFont="1" applyFill="1" applyBorder="1"/>
    <xf numFmtId="168" fontId="3" fillId="0" borderId="112" xfId="0" applyNumberFormat="1" applyFont="1" applyBorder="1"/>
    <xf numFmtId="168" fontId="3" fillId="0" borderId="113" xfId="0" applyNumberFormat="1" applyFont="1" applyBorder="1"/>
    <xf numFmtId="168" fontId="3" fillId="0" borderId="114" xfId="0" applyNumberFormat="1" applyFont="1" applyBorder="1"/>
    <xf numFmtId="168" fontId="3" fillId="0" borderId="53" xfId="93" applyNumberFormat="1" applyFont="1" applyBorder="1"/>
    <xf numFmtId="168" fontId="3" fillId="0" borderId="113" xfId="93" applyNumberFormat="1" applyFont="1" applyBorder="1"/>
    <xf numFmtId="168" fontId="3" fillId="0" borderId="112" xfId="93" applyNumberFormat="1" applyFont="1" applyBorder="1"/>
    <xf numFmtId="168" fontId="3" fillId="24" borderId="66" xfId="0" applyNumberFormat="1" applyFont="1" applyFill="1" applyBorder="1"/>
    <xf numFmtId="168" fontId="3" fillId="24" borderId="115" xfId="0" applyNumberFormat="1" applyFont="1" applyFill="1" applyBorder="1" applyAlignment="1">
      <alignment vertical="center"/>
    </xf>
    <xf numFmtId="168" fontId="3" fillId="0" borderId="112" xfId="0" applyNumberFormat="1" applyFont="1" applyBorder="1" applyAlignment="1">
      <alignment vertical="center"/>
    </xf>
    <xf numFmtId="168" fontId="3" fillId="0" borderId="116" xfId="0" applyNumberFormat="1" applyFont="1" applyBorder="1" applyAlignment="1">
      <alignment vertical="center"/>
    </xf>
    <xf numFmtId="168" fontId="3" fillId="0" borderId="94" xfId="93" applyNumberFormat="1" applyFont="1" applyBorder="1"/>
    <xf numFmtId="168" fontId="3" fillId="0" borderId="96" xfId="93" applyNumberFormat="1" applyFont="1" applyBorder="1"/>
    <xf numFmtId="168" fontId="3" fillId="0" borderId="67" xfId="93" applyNumberFormat="1" applyFont="1" applyBorder="1"/>
    <xf numFmtId="168" fontId="3" fillId="0" borderId="97" xfId="93" applyNumberFormat="1" applyFont="1" applyBorder="1"/>
    <xf numFmtId="168" fontId="14" fillId="0" borderId="84" xfId="94" applyNumberFormat="1" applyFont="1" applyBorder="1"/>
    <xf numFmtId="168" fontId="14" fillId="0" borderId="72" xfId="94" applyNumberFormat="1" applyFont="1" applyBorder="1"/>
    <xf numFmtId="168" fontId="14" fillId="24" borderId="112" xfId="94" applyNumberFormat="1" applyFont="1" applyFill="1" applyBorder="1"/>
    <xf numFmtId="168" fontId="14" fillId="24" borderId="114" xfId="94" applyNumberFormat="1" applyFont="1" applyFill="1" applyBorder="1"/>
    <xf numFmtId="168" fontId="14" fillId="24" borderId="113" xfId="94" applyNumberFormat="1" applyFont="1" applyFill="1" applyBorder="1"/>
    <xf numFmtId="168" fontId="3" fillId="24" borderId="112" xfId="95" applyNumberFormat="1" applyFont="1" applyFill="1" applyBorder="1"/>
    <xf numFmtId="168" fontId="3" fillId="24" borderId="113" xfId="95" applyNumberFormat="1" applyFont="1" applyFill="1" applyBorder="1"/>
    <xf numFmtId="168" fontId="3" fillId="24" borderId="114" xfId="95" applyNumberFormat="1" applyFont="1" applyFill="1" applyBorder="1"/>
    <xf numFmtId="168" fontId="3" fillId="24" borderId="82" xfId="95" applyNumberFormat="1" applyFont="1" applyFill="1" applyBorder="1"/>
    <xf numFmtId="168" fontId="3" fillId="24" borderId="117" xfId="95" applyNumberFormat="1" applyFont="1" applyFill="1" applyBorder="1"/>
    <xf numFmtId="168" fontId="3" fillId="24" borderId="70" xfId="95" applyNumberFormat="1" applyFont="1" applyFill="1" applyBorder="1"/>
    <xf numFmtId="168" fontId="3" fillId="24" borderId="94" xfId="96" applyNumberFormat="1" applyFont="1" applyFill="1" applyBorder="1"/>
    <xf numFmtId="168" fontId="3" fillId="24" borderId="117" xfId="96" applyNumberFormat="1" applyFont="1" applyFill="1" applyBorder="1"/>
    <xf numFmtId="168" fontId="3" fillId="24" borderId="67" xfId="96" applyNumberFormat="1" applyFont="1" applyFill="1" applyBorder="1"/>
    <xf numFmtId="168" fontId="3" fillId="24" borderId="70" xfId="96" applyNumberFormat="1" applyFont="1" applyFill="1" applyBorder="1"/>
    <xf numFmtId="168" fontId="3" fillId="24" borderId="112" xfId="96" applyNumberFormat="1" applyFont="1" applyFill="1" applyBorder="1"/>
    <xf numFmtId="168" fontId="3" fillId="24" borderId="114" xfId="96" applyNumberFormat="1" applyFont="1" applyFill="1" applyBorder="1"/>
    <xf numFmtId="168" fontId="3" fillId="24" borderId="113" xfId="96" applyNumberFormat="1" applyFont="1" applyFill="1" applyBorder="1"/>
    <xf numFmtId="168" fontId="3" fillId="24" borderId="84" xfId="97" applyNumberFormat="1" applyFont="1" applyFill="1" applyBorder="1"/>
    <xf numFmtId="168" fontId="3" fillId="24" borderId="79" xfId="97" applyNumberFormat="1" applyFont="1" applyFill="1" applyBorder="1"/>
    <xf numFmtId="168" fontId="3" fillId="24" borderId="112" xfId="97" applyNumberFormat="1" applyFont="1" applyFill="1" applyBorder="1"/>
    <xf numFmtId="168" fontId="3" fillId="24" borderId="113" xfId="97" applyNumberFormat="1" applyFont="1" applyFill="1" applyBorder="1"/>
    <xf numFmtId="168" fontId="3" fillId="24" borderId="94" xfId="0" applyNumberFormat="1" applyFont="1" applyFill="1" applyBorder="1"/>
    <xf numFmtId="168" fontId="3" fillId="24" borderId="96" xfId="0" applyNumberFormat="1" applyFont="1" applyFill="1" applyBorder="1"/>
    <xf numFmtId="168" fontId="3" fillId="24" borderId="67" xfId="0" applyNumberFormat="1" applyFont="1" applyFill="1" applyBorder="1"/>
    <xf numFmtId="168" fontId="3" fillId="24" borderId="112" xfId="98" applyNumberFormat="1" applyFont="1" applyFill="1" applyBorder="1"/>
    <xf numFmtId="168" fontId="3" fillId="24" borderId="113" xfId="98" applyNumberFormat="1" applyFont="1" applyFill="1" applyBorder="1"/>
    <xf numFmtId="168" fontId="3" fillId="24" borderId="114" xfId="98" applyNumberFormat="1" applyFont="1" applyFill="1" applyBorder="1"/>
    <xf numFmtId="0" fontId="3" fillId="0" borderId="88" xfId="98" applyFont="1" applyBorder="1" applyAlignment="1">
      <alignment horizontal="centerContinuous" vertical="center" wrapText="1"/>
    </xf>
    <xf numFmtId="168" fontId="3" fillId="24" borderId="118" xfId="0" applyNumberFormat="1" applyFont="1" applyFill="1" applyBorder="1"/>
    <xf numFmtId="168" fontId="3" fillId="24" borderId="119" xfId="0" applyNumberFormat="1" applyFont="1" applyFill="1" applyBorder="1"/>
    <xf numFmtId="168" fontId="3" fillId="24" borderId="112" xfId="0" applyNumberFormat="1" applyFont="1" applyFill="1" applyBorder="1"/>
    <xf numFmtId="168" fontId="3" fillId="24" borderId="70" xfId="0" applyNumberFormat="1" applyFont="1" applyFill="1" applyBorder="1"/>
    <xf numFmtId="0" fontId="43" fillId="0" borderId="0" xfId="90" applyNumberFormat="1" applyFont="1" applyAlignment="1">
      <alignment vertical="center"/>
    </xf>
    <xf numFmtId="0" fontId="41" fillId="0" borderId="0" xfId="90" applyNumberFormat="1" applyAlignment="1" applyProtection="1">
      <alignment vertical="center"/>
      <protection locked="0"/>
    </xf>
    <xf numFmtId="0" fontId="28" fillId="0" borderId="120" xfId="0" applyFont="1" applyBorder="1" applyAlignment="1">
      <alignment horizontal="left" vertical="center" wrapText="1"/>
    </xf>
    <xf numFmtId="0" fontId="52" fillId="0" borderId="26" xfId="0" applyFont="1" applyBorder="1" applyAlignment="1">
      <alignment horizontal="center" vertical="center" wrapText="1"/>
    </xf>
    <xf numFmtId="0" fontId="52" fillId="0" borderId="121" xfId="0" applyFont="1" applyBorder="1" applyAlignment="1">
      <alignment horizontal="center" vertical="center" wrapText="1"/>
    </xf>
    <xf numFmtId="0" fontId="58" fillId="0" borderId="31" xfId="0" applyFont="1" applyBorder="1" applyAlignment="1">
      <alignment horizontal="center" vertical="center" wrapText="1"/>
    </xf>
    <xf numFmtId="0" fontId="58" fillId="0" borderId="122" xfId="0" applyFont="1" applyBorder="1" applyAlignment="1">
      <alignment horizontal="center" vertical="center" wrapText="1"/>
    </xf>
    <xf numFmtId="0" fontId="59" fillId="0" borderId="0" xfId="0" applyFont="1"/>
    <xf numFmtId="0" fontId="16" fillId="0" borderId="16" xfId="98" applyFont="1" applyBorder="1" applyAlignment="1">
      <alignment horizontal="centerContinuous" vertical="center" wrapText="1"/>
    </xf>
    <xf numFmtId="0" fontId="3" fillId="0" borderId="17" xfId="98" applyFont="1" applyBorder="1" applyAlignment="1">
      <alignment horizontal="centerContinuous" vertical="center" wrapText="1"/>
    </xf>
    <xf numFmtId="2" fontId="14" fillId="0" borderId="123" xfId="0" applyNumberFormat="1" applyFont="1" applyBorder="1" applyAlignment="1">
      <alignment horizontal="center" vertical="center" wrapText="1"/>
    </xf>
    <xf numFmtId="164" fontId="9" fillId="0" borderId="0" xfId="90" applyFont="1" applyAlignment="1">
      <alignment horizontal="left" vertical="center" wrapText="1"/>
    </xf>
    <xf numFmtId="167" fontId="41" fillId="0" borderId="0" xfId="90" applyNumberFormat="1" applyAlignment="1">
      <alignment vertical="center"/>
    </xf>
    <xf numFmtId="164" fontId="61" fillId="0" borderId="0" xfId="90" applyFont="1" applyAlignment="1">
      <alignment horizontal="center" vertical="center" wrapText="1"/>
    </xf>
    <xf numFmtId="0" fontId="61" fillId="0" borderId="0" xfId="90" applyNumberFormat="1" applyFont="1" applyAlignment="1">
      <alignment horizontal="center" vertical="center" wrapText="1"/>
    </xf>
    <xf numFmtId="49" fontId="63" fillId="0" borderId="59" xfId="43" applyNumberFormat="1" applyFont="1" applyBorder="1" applyAlignment="1" applyProtection="1">
      <alignment horizontal="left" vertical="center"/>
      <protection locked="0"/>
    </xf>
    <xf numFmtId="0" fontId="41" fillId="0" borderId="0" xfId="90" applyNumberFormat="1" applyAlignment="1">
      <alignment vertical="center"/>
    </xf>
    <xf numFmtId="164" fontId="64" fillId="0" borderId="0" xfId="90" applyFont="1" applyAlignment="1">
      <alignment vertical="center"/>
    </xf>
    <xf numFmtId="0" fontId="14" fillId="0" borderId="124" xfId="0" applyFont="1" applyBorder="1" applyAlignment="1">
      <alignment horizontal="left"/>
    </xf>
    <xf numFmtId="3" fontId="3" fillId="24" borderId="125" xfId="0" applyNumberFormat="1" applyFont="1" applyFill="1" applyBorder="1" applyAlignment="1">
      <alignment horizontal="center"/>
    </xf>
    <xf numFmtId="0" fontId="13" fillId="0" borderId="126" xfId="0" applyFont="1" applyBorder="1" applyAlignment="1">
      <alignment horizontal="center"/>
    </xf>
    <xf numFmtId="3" fontId="13" fillId="0" borderId="127" xfId="0" applyNumberFormat="1" applyFont="1" applyBorder="1" applyAlignment="1">
      <alignment horizontal="center"/>
    </xf>
    <xf numFmtId="171" fontId="3" fillId="24" borderId="118" xfId="0" applyNumberFormat="1" applyFont="1" applyFill="1" applyBorder="1"/>
    <xf numFmtId="0" fontId="10" fillId="0" borderId="124" xfId="0" applyFont="1" applyBorder="1" applyAlignment="1">
      <alignment horizontal="center" vertical="center" wrapText="1"/>
    </xf>
    <xf numFmtId="0" fontId="10" fillId="0" borderId="125" xfId="0" applyFont="1" applyBorder="1" applyAlignment="1">
      <alignment horizontal="center" vertical="center" wrapText="1"/>
    </xf>
    <xf numFmtId="0" fontId="10" fillId="0" borderId="128" xfId="0" applyFont="1" applyBorder="1" applyAlignment="1">
      <alignment horizontal="center" vertical="center" wrapText="1"/>
    </xf>
    <xf numFmtId="164" fontId="24" fillId="0" borderId="0" xfId="90" applyFont="1" applyAlignment="1">
      <alignment vertical="top"/>
    </xf>
    <xf numFmtId="168" fontId="3" fillId="0" borderId="129" xfId="93" applyNumberFormat="1" applyFont="1" applyBorder="1"/>
    <xf numFmtId="3" fontId="3" fillId="0" borderId="58" xfId="93" applyNumberFormat="1" applyFont="1" applyBorder="1" applyProtection="1">
      <protection locked="0"/>
    </xf>
    <xf numFmtId="168" fontId="3" fillId="0" borderId="28" xfId="93" applyNumberFormat="1" applyFont="1" applyBorder="1"/>
    <xf numFmtId="3" fontId="3" fillId="0" borderId="94" xfId="93" applyNumberFormat="1" applyFont="1" applyBorder="1" applyProtection="1">
      <protection locked="0"/>
    </xf>
    <xf numFmtId="3" fontId="3" fillId="0" borderId="67" xfId="93" applyNumberFormat="1" applyFont="1" applyBorder="1" applyProtection="1">
      <protection locked="0"/>
    </xf>
    <xf numFmtId="3" fontId="3" fillId="0" borderId="130" xfId="97" applyNumberFormat="1" applyFont="1" applyBorder="1" applyProtection="1">
      <protection locked="0"/>
    </xf>
    <xf numFmtId="3" fontId="3" fillId="0" borderId="80" xfId="97" applyNumberFormat="1" applyFont="1" applyBorder="1" applyProtection="1">
      <protection locked="0"/>
    </xf>
    <xf numFmtId="168" fontId="3" fillId="24" borderId="129" xfId="97" applyNumberFormat="1" applyFont="1" applyFill="1" applyBorder="1"/>
    <xf numFmtId="168" fontId="3" fillId="24" borderId="131" xfId="97" applyNumberFormat="1" applyFont="1" applyFill="1" applyBorder="1"/>
    <xf numFmtId="168" fontId="3" fillId="24" borderId="132" xfId="97" applyNumberFormat="1" applyFont="1" applyFill="1" applyBorder="1"/>
    <xf numFmtId="0" fontId="18" fillId="0" borderId="133" xfId="97" applyFont="1" applyBorder="1" applyAlignment="1">
      <alignment horizontal="centerContinuous" vertical="center" wrapText="1"/>
    </xf>
    <xf numFmtId="0" fontId="18" fillId="0" borderId="134" xfId="97" applyFont="1" applyBorder="1" applyAlignment="1">
      <alignment horizontal="centerContinuous" vertical="center" wrapText="1"/>
    </xf>
    <xf numFmtId="168" fontId="3" fillId="24" borderId="135" xfId="97" applyNumberFormat="1" applyFont="1" applyFill="1" applyBorder="1"/>
    <xf numFmtId="168" fontId="0" fillId="0" borderId="136" xfId="0" applyNumberFormat="1" applyBorder="1"/>
    <xf numFmtId="168" fontId="3" fillId="0" borderId="114" xfId="93" applyNumberFormat="1" applyFont="1" applyBorder="1"/>
    <xf numFmtId="168" fontId="14" fillId="24" borderId="118" xfId="94" applyNumberFormat="1" applyFont="1" applyFill="1" applyBorder="1"/>
    <xf numFmtId="168" fontId="3" fillId="24" borderId="84" xfId="98" applyNumberFormat="1" applyFont="1" applyFill="1" applyBorder="1"/>
    <xf numFmtId="0" fontId="39" fillId="0" borderId="100" xfId="98" applyFont="1" applyBorder="1" applyAlignment="1">
      <alignment horizontal="center"/>
    </xf>
    <xf numFmtId="168" fontId="3" fillId="24" borderId="79" xfId="98" applyNumberFormat="1" applyFont="1" applyFill="1" applyBorder="1"/>
    <xf numFmtId="164" fontId="9" fillId="0" borderId="0" xfId="90" applyFont="1" applyAlignment="1" applyProtection="1">
      <alignment vertical="center"/>
      <protection locked="0"/>
    </xf>
    <xf numFmtId="164" fontId="24" fillId="24" borderId="0" xfId="90" applyFont="1" applyFill="1" applyAlignment="1">
      <alignment vertical="center"/>
    </xf>
    <xf numFmtId="0" fontId="0" fillId="24" borderId="0" xfId="0" applyFill="1"/>
    <xf numFmtId="164" fontId="9" fillId="0" borderId="0" xfId="90" applyFont="1" applyAlignment="1">
      <alignment vertical="center"/>
    </xf>
    <xf numFmtId="164" fontId="41" fillId="0" borderId="0" xfId="90" applyAlignment="1" applyProtection="1">
      <alignment vertical="center"/>
      <protection locked="0"/>
    </xf>
    <xf numFmtId="49" fontId="24" fillId="24" borderId="21" xfId="87" applyNumberFormat="1" applyFont="1" applyFill="1" applyBorder="1" applyAlignment="1" applyProtection="1">
      <alignment horizontal="left" vertical="center"/>
      <protection locked="0"/>
    </xf>
    <xf numFmtId="49" fontId="24" fillId="24" borderId="0" xfId="87" applyNumberFormat="1" applyFont="1" applyFill="1" applyAlignment="1" applyProtection="1">
      <alignment horizontal="left" vertical="center"/>
      <protection locked="0"/>
    </xf>
    <xf numFmtId="0" fontId="68" fillId="24" borderId="0" xfId="0" applyFont="1" applyFill="1" applyAlignment="1">
      <alignment horizontal="center"/>
    </xf>
    <xf numFmtId="0" fontId="69" fillId="24" borderId="0" xfId="0" applyFont="1" applyFill="1" applyAlignment="1">
      <alignment horizontal="center"/>
    </xf>
    <xf numFmtId="167" fontId="0" fillId="24" borderId="0" xfId="0" applyNumberFormat="1" applyFill="1"/>
    <xf numFmtId="0" fontId="70" fillId="24" borderId="0" xfId="0" applyFont="1" applyFill="1"/>
    <xf numFmtId="0" fontId="71" fillId="24" borderId="0" xfId="0" applyFont="1" applyFill="1" applyAlignment="1">
      <alignment horizontal="right"/>
    </xf>
    <xf numFmtId="0" fontId="65" fillId="24" borderId="0" xfId="0" applyFont="1" applyFill="1"/>
    <xf numFmtId="0" fontId="28" fillId="24" borderId="35" xfId="0" applyFont="1" applyFill="1" applyBorder="1" applyAlignment="1">
      <alignment horizontal="center" wrapText="1"/>
    </xf>
    <xf numFmtId="0" fontId="28" fillId="24" borderId="35" xfId="0" applyFont="1" applyFill="1" applyBorder="1" applyAlignment="1">
      <alignment horizontal="center"/>
    </xf>
    <xf numFmtId="0" fontId="28" fillId="24" borderId="84" xfId="0" applyFont="1" applyFill="1" applyBorder="1" applyAlignment="1">
      <alignment horizontal="center" wrapText="1"/>
    </xf>
    <xf numFmtId="0" fontId="28" fillId="24" borderId="79" xfId="0" applyFont="1" applyFill="1" applyBorder="1" applyAlignment="1">
      <alignment horizontal="center"/>
    </xf>
    <xf numFmtId="0" fontId="19" fillId="24" borderId="63" xfId="0" applyFont="1" applyFill="1" applyBorder="1" applyAlignment="1">
      <alignment horizontal="left"/>
    </xf>
    <xf numFmtId="0" fontId="28" fillId="24" borderId="58" xfId="0" applyFont="1" applyFill="1" applyBorder="1" applyAlignment="1">
      <alignment horizontal="right"/>
    </xf>
    <xf numFmtId="164" fontId="22" fillId="0" borderId="0" xfId="90" applyFont="1" applyAlignment="1">
      <alignment horizontal="center" vertical="center"/>
    </xf>
    <xf numFmtId="3" fontId="0" fillId="0" borderId="117" xfId="0" applyNumberFormat="1" applyBorder="1" applyProtection="1">
      <protection locked="0"/>
    </xf>
    <xf numFmtId="3" fontId="0" fillId="0" borderId="71" xfId="0" applyNumberFormat="1" applyBorder="1" applyProtection="1">
      <protection locked="0"/>
    </xf>
    <xf numFmtId="0" fontId="22" fillId="24" borderId="0" xfId="0" applyFont="1" applyFill="1" applyAlignment="1">
      <alignment horizontal="center" vertical="top"/>
    </xf>
    <xf numFmtId="167" fontId="24" fillId="0" borderId="0" xfId="90" applyNumberFormat="1" applyFont="1" applyAlignment="1">
      <alignment vertical="center"/>
    </xf>
    <xf numFmtId="1" fontId="0" fillId="24" borderId="0" xfId="0" applyNumberFormat="1" applyFill="1"/>
    <xf numFmtId="1" fontId="24" fillId="26" borderId="35" xfId="90" applyNumberFormat="1" applyFont="1" applyFill="1" applyBorder="1" applyAlignment="1" applyProtection="1">
      <alignment vertical="center"/>
      <protection locked="0"/>
    </xf>
    <xf numFmtId="3" fontId="19" fillId="24" borderId="35" xfId="0" applyNumberFormat="1" applyFont="1" applyFill="1" applyBorder="1" applyAlignment="1" applyProtection="1">
      <alignment wrapText="1"/>
      <protection locked="0"/>
    </xf>
    <xf numFmtId="3" fontId="19" fillId="24" borderId="35" xfId="0" applyNumberFormat="1" applyFont="1" applyFill="1" applyBorder="1" applyProtection="1">
      <protection locked="0"/>
    </xf>
    <xf numFmtId="3" fontId="19" fillId="24" borderId="84" xfId="0" applyNumberFormat="1" applyFont="1" applyFill="1" applyBorder="1" applyProtection="1">
      <protection locked="0"/>
    </xf>
    <xf numFmtId="3" fontId="19" fillId="24" borderId="79" xfId="0" applyNumberFormat="1" applyFont="1" applyFill="1" applyBorder="1" applyProtection="1">
      <protection locked="0"/>
    </xf>
    <xf numFmtId="3" fontId="19" fillId="24" borderId="84" xfId="0" applyNumberFormat="1" applyFont="1" applyFill="1" applyBorder="1" applyAlignment="1" applyProtection="1">
      <alignment horizontal="right"/>
      <protection locked="0"/>
    </xf>
    <xf numFmtId="168" fontId="19" fillId="24" borderId="67" xfId="0" applyNumberFormat="1" applyFont="1" applyFill="1" applyBorder="1" applyAlignment="1">
      <alignment horizontal="right"/>
    </xf>
    <xf numFmtId="168" fontId="19" fillId="24" borderId="51" xfId="0" applyNumberFormat="1" applyFont="1" applyFill="1" applyBorder="1" applyAlignment="1">
      <alignment horizontal="right"/>
    </xf>
    <xf numFmtId="168" fontId="19" fillId="24" borderId="48" xfId="0" applyNumberFormat="1" applyFont="1" applyFill="1" applyBorder="1" applyAlignment="1">
      <alignment horizontal="right"/>
    </xf>
    <xf numFmtId="3" fontId="3" fillId="0" borderId="81" xfId="94" applyNumberFormat="1" applyFont="1" applyBorder="1" applyProtection="1">
      <protection locked="0"/>
    </xf>
    <xf numFmtId="3" fontId="0" fillId="0" borderId="94" xfId="0" applyNumberFormat="1" applyBorder="1" applyProtection="1">
      <protection locked="0"/>
    </xf>
    <xf numFmtId="3" fontId="3" fillId="0" borderId="48" xfId="94" applyNumberFormat="1" applyFont="1" applyBorder="1" applyProtection="1">
      <protection locked="0"/>
    </xf>
    <xf numFmtId="3" fontId="0" fillId="0" borderId="84" xfId="0" applyNumberFormat="1" applyBorder="1" applyProtection="1">
      <protection locked="0"/>
    </xf>
    <xf numFmtId="168" fontId="0" fillId="0" borderId="112" xfId="0" applyNumberFormat="1" applyBorder="1"/>
    <xf numFmtId="0" fontId="28" fillId="0" borderId="0" xfId="0" applyFont="1" applyAlignment="1">
      <alignment horizontal="left" vertical="center" wrapText="1"/>
    </xf>
    <xf numFmtId="0" fontId="6" fillId="0" borderId="35" xfId="0" applyFont="1" applyBorder="1" applyAlignment="1">
      <alignment horizontal="center" vertical="center"/>
    </xf>
    <xf numFmtId="0" fontId="6" fillId="0" borderId="35" xfId="0" applyFont="1" applyBorder="1" applyAlignment="1">
      <alignment horizontal="center" vertical="center" wrapText="1"/>
    </xf>
    <xf numFmtId="0" fontId="3" fillId="0" borderId="35" xfId="0" applyFont="1" applyBorder="1" applyAlignment="1">
      <alignment horizontal="center" vertical="center" wrapText="1"/>
    </xf>
    <xf numFmtId="0" fontId="25" fillId="0" borderId="35" xfId="0" applyFont="1" applyBorder="1" applyAlignment="1">
      <alignment horizontal="center" vertical="center" wrapText="1"/>
    </xf>
    <xf numFmtId="0" fontId="21" fillId="0" borderId="35" xfId="0" applyFont="1" applyBorder="1" applyAlignment="1">
      <alignment horizontal="center" vertical="center" wrapText="1"/>
    </xf>
    <xf numFmtId="0" fontId="94" fillId="0" borderId="35" xfId="0" applyFont="1" applyBorder="1" applyAlignment="1">
      <alignment horizontal="center" vertical="center" wrapText="1"/>
    </xf>
    <xf numFmtId="170" fontId="3" fillId="0" borderId="35" xfId="0" applyNumberFormat="1" applyFont="1" applyBorder="1" applyAlignment="1">
      <alignment horizontal="center"/>
    </xf>
    <xf numFmtId="170" fontId="3" fillId="0" borderId="35" xfId="60" applyNumberFormat="1" applyFont="1" applyBorder="1" applyAlignment="1"/>
    <xf numFmtId="169" fontId="3" fillId="0" borderId="35" xfId="0" applyNumberFormat="1" applyFont="1" applyBorder="1"/>
    <xf numFmtId="169" fontId="6" fillId="0" borderId="35" xfId="0" applyNumberFormat="1" applyFont="1" applyBorder="1"/>
    <xf numFmtId="169" fontId="95" fillId="0" borderId="35" xfId="0" applyNumberFormat="1" applyFont="1" applyBorder="1"/>
    <xf numFmtId="0" fontId="18" fillId="0" borderId="139" xfId="98" applyFont="1" applyBorder="1" applyAlignment="1">
      <alignment horizontal="centerContinuous" vertical="center"/>
    </xf>
    <xf numFmtId="3" fontId="3" fillId="0" borderId="54" xfId="98" applyNumberFormat="1" applyFont="1" applyBorder="1" applyProtection="1">
      <protection locked="0"/>
    </xf>
    <xf numFmtId="3" fontId="3" fillId="0" borderId="87" xfId="98" applyNumberFormat="1" applyFont="1" applyBorder="1" applyProtection="1">
      <protection locked="0"/>
    </xf>
    <xf numFmtId="168" fontId="3" fillId="24" borderId="129" xfId="98" applyNumberFormat="1" applyFont="1" applyFill="1" applyBorder="1"/>
    <xf numFmtId="0" fontId="18" fillId="0" borderId="140" xfId="98" applyFont="1" applyBorder="1" applyAlignment="1">
      <alignment horizontal="centerContinuous" vertical="center"/>
    </xf>
    <xf numFmtId="0" fontId="39" fillId="0" borderId="32" xfId="98" applyFont="1" applyBorder="1" applyAlignment="1">
      <alignment horizontal="center"/>
    </xf>
    <xf numFmtId="3" fontId="3" fillId="0" borderId="42" xfId="98" applyNumberFormat="1" applyFont="1" applyBorder="1" applyProtection="1">
      <protection locked="0"/>
    </xf>
    <xf numFmtId="3" fontId="3" fillId="0" borderId="88" xfId="98" applyNumberFormat="1" applyFont="1" applyBorder="1" applyProtection="1">
      <protection locked="0"/>
    </xf>
    <xf numFmtId="168" fontId="3" fillId="24" borderId="50" xfId="98" applyNumberFormat="1" applyFont="1" applyFill="1" applyBorder="1"/>
    <xf numFmtId="3" fontId="3" fillId="0" borderId="141" xfId="98" applyNumberFormat="1" applyFont="1" applyBorder="1" applyProtection="1">
      <protection locked="0"/>
    </xf>
    <xf numFmtId="0" fontId="39" fillId="0" borderId="142" xfId="98" applyFont="1" applyBorder="1" applyAlignment="1">
      <alignment horizontal="center"/>
    </xf>
    <xf numFmtId="168" fontId="3" fillId="24" borderId="132" xfId="98" applyNumberFormat="1" applyFont="1" applyFill="1" applyBorder="1"/>
    <xf numFmtId="168" fontId="3" fillId="24" borderId="143" xfId="98" applyNumberFormat="1" applyFont="1" applyFill="1" applyBorder="1"/>
    <xf numFmtId="0" fontId="10" fillId="0" borderId="20" xfId="93" applyFont="1" applyBorder="1" applyAlignment="1">
      <alignment horizontal="center" vertical="center"/>
    </xf>
    <xf numFmtId="0" fontId="10" fillId="0" borderId="20" xfId="94" applyFont="1" applyBorder="1" applyAlignment="1">
      <alignment horizontal="center" vertical="center"/>
    </xf>
    <xf numFmtId="0" fontId="20" fillId="0" borderId="89" xfId="93" applyFont="1" applyBorder="1" applyAlignment="1">
      <alignment horizontal="center"/>
    </xf>
    <xf numFmtId="0" fontId="20" fillId="0" borderId="144" xfId="93" applyFont="1" applyBorder="1" applyAlignment="1">
      <alignment horizontal="center"/>
    </xf>
    <xf numFmtId="0" fontId="20" fillId="0" borderId="145" xfId="93" applyFont="1" applyBorder="1" applyAlignment="1">
      <alignment horizontal="center"/>
    </xf>
    <xf numFmtId="0" fontId="20" fillId="0" borderId="89" xfId="94" applyFont="1" applyBorder="1" applyAlignment="1">
      <alignment horizontal="center"/>
    </xf>
    <xf numFmtId="0" fontId="20" fillId="0" borderId="144" xfId="94" applyFont="1" applyBorder="1" applyAlignment="1">
      <alignment horizontal="center"/>
    </xf>
    <xf numFmtId="0" fontId="20" fillId="0" borderId="145" xfId="94" applyFont="1" applyBorder="1" applyAlignment="1">
      <alignment horizontal="center"/>
    </xf>
    <xf numFmtId="0" fontId="0" fillId="0" borderId="0" xfId="0" applyAlignment="1">
      <alignment vertical="top"/>
    </xf>
    <xf numFmtId="164" fontId="9" fillId="0" borderId="0" xfId="90" applyFont="1" applyAlignment="1">
      <alignment vertical="center" wrapText="1"/>
    </xf>
    <xf numFmtId="0" fontId="18" fillId="0" borderId="121" xfId="0" applyFont="1" applyBorder="1" applyAlignment="1">
      <alignment horizontal="center" vertical="center" wrapText="1"/>
    </xf>
    <xf numFmtId="49" fontId="15" fillId="26" borderId="63" xfId="90" applyNumberFormat="1" applyFont="1" applyFill="1" applyBorder="1" applyAlignment="1" applyProtection="1">
      <alignment horizontal="left" vertical="center"/>
      <protection locked="0"/>
    </xf>
    <xf numFmtId="49" fontId="15" fillId="26" borderId="35" xfId="90" applyNumberFormat="1" applyFont="1" applyFill="1" applyBorder="1" applyAlignment="1" applyProtection="1">
      <alignment horizontal="left" vertical="center"/>
      <protection locked="0"/>
    </xf>
    <xf numFmtId="49" fontId="15" fillId="26" borderId="51" xfId="87" applyNumberFormat="1" applyFont="1" applyFill="1" applyBorder="1" applyAlignment="1" applyProtection="1">
      <alignment horizontal="left" vertical="center"/>
      <protection locked="0"/>
    </xf>
    <xf numFmtId="49" fontId="15" fillId="26" borderId="63" xfId="0" applyNumberFormat="1" applyFont="1" applyFill="1" applyBorder="1" applyAlignment="1" applyProtection="1">
      <alignment horizontal="left" vertical="center"/>
      <protection locked="0"/>
    </xf>
    <xf numFmtId="49" fontId="15" fillId="26" borderId="35" xfId="87" applyNumberFormat="1" applyFont="1" applyFill="1" applyBorder="1" applyAlignment="1" applyProtection="1">
      <alignment horizontal="left" vertical="center"/>
      <protection locked="0"/>
    </xf>
    <xf numFmtId="49" fontId="8" fillId="26" borderId="59" xfId="43" applyNumberFormat="1" applyFill="1" applyBorder="1" applyAlignment="1" applyProtection="1">
      <alignment horizontal="left" vertical="center"/>
      <protection locked="0"/>
    </xf>
    <xf numFmtId="49" fontId="15" fillId="26" borderId="35" xfId="0" applyNumberFormat="1" applyFont="1" applyFill="1" applyBorder="1" applyAlignment="1" applyProtection="1">
      <alignment horizontal="left"/>
      <protection locked="0"/>
    </xf>
    <xf numFmtId="0" fontId="3" fillId="0" borderId="113" xfId="98" applyFont="1" applyBorder="1" applyAlignment="1">
      <alignment horizontal="center"/>
    </xf>
    <xf numFmtId="0" fontId="11" fillId="0" borderId="35" xfId="0" applyFont="1" applyBorder="1" applyAlignment="1">
      <alignment horizontal="center" vertical="center" wrapText="1"/>
    </xf>
    <xf numFmtId="0" fontId="3" fillId="0" borderId="44" xfId="0" applyFont="1" applyBorder="1" applyAlignment="1">
      <alignment horizontal="centerContinuous" vertical="center" wrapText="1"/>
    </xf>
    <xf numFmtId="0" fontId="36" fillId="0" borderId="35" xfId="0" applyFont="1" applyBorder="1"/>
    <xf numFmtId="0" fontId="123" fillId="0" borderId="35" xfId="0" applyFont="1" applyBorder="1"/>
    <xf numFmtId="0" fontId="25" fillId="0" borderId="49" xfId="0" applyFont="1" applyBorder="1"/>
    <xf numFmtId="0" fontId="10" fillId="0" borderId="103" xfId="0" applyFont="1" applyBorder="1" applyAlignment="1">
      <alignment horizontal="center" vertical="center" wrapText="1"/>
    </xf>
    <xf numFmtId="0" fontId="10" fillId="0" borderId="146" xfId="0" applyFont="1" applyBorder="1" applyAlignment="1">
      <alignment horizontal="center" vertical="center" wrapText="1"/>
    </xf>
    <xf numFmtId="0" fontId="10" fillId="0" borderId="147" xfId="0" applyFont="1" applyBorder="1" applyAlignment="1">
      <alignment horizontal="center" vertical="center" wrapText="1"/>
    </xf>
    <xf numFmtId="0" fontId="10" fillId="0" borderId="148" xfId="0" applyFont="1" applyBorder="1" applyAlignment="1">
      <alignment horizontal="center" vertical="center" wrapText="1"/>
    </xf>
    <xf numFmtId="0" fontId="25" fillId="0" borderId="149" xfId="0" applyFont="1" applyBorder="1"/>
    <xf numFmtId="0" fontId="3" fillId="0" borderId="56" xfId="0" applyFont="1" applyBorder="1" applyAlignment="1">
      <alignment horizontal="center"/>
    </xf>
    <xf numFmtId="0" fontId="3" fillId="0" borderId="39" xfId="0" applyFont="1" applyBorder="1" applyAlignment="1">
      <alignment horizontal="justify" wrapText="1"/>
    </xf>
    <xf numFmtId="0" fontId="3" fillId="0" borderId="49" xfId="0" applyFont="1" applyBorder="1" applyAlignment="1">
      <alignment horizontal="justify" wrapText="1"/>
    </xf>
    <xf numFmtId="0" fontId="3" fillId="0" borderId="60" xfId="0" applyFont="1" applyBorder="1" applyAlignment="1">
      <alignment horizontal="justify" wrapText="1"/>
    </xf>
    <xf numFmtId="0" fontId="9" fillId="0" borderId="0" xfId="88" applyFont="1" applyAlignment="1">
      <alignment vertical="center"/>
    </xf>
    <xf numFmtId="164" fontId="9" fillId="0" borderId="0" xfId="90" applyFont="1" applyAlignment="1">
      <alignment horizontal="right" vertical="center"/>
    </xf>
    <xf numFmtId="164" fontId="91" fillId="0" borderId="0" xfId="90" applyFont="1" applyAlignment="1">
      <alignment horizontal="left" vertical="center"/>
    </xf>
    <xf numFmtId="164" fontId="91" fillId="0" borderId="0" xfId="90" applyFont="1" applyAlignment="1">
      <alignment horizontal="right" vertical="center"/>
    </xf>
    <xf numFmtId="164" fontId="91" fillId="0" borderId="0" xfId="90" applyFont="1" applyAlignment="1">
      <alignment vertical="center"/>
    </xf>
    <xf numFmtId="1" fontId="15" fillId="25" borderId="35" xfId="90" applyNumberFormat="1" applyFont="1" applyFill="1" applyBorder="1" applyAlignment="1">
      <alignment vertical="center"/>
    </xf>
    <xf numFmtId="164" fontId="62" fillId="0" borderId="80" xfId="90" applyFont="1" applyBorder="1" applyAlignment="1">
      <alignment vertical="center" wrapText="1"/>
    </xf>
    <xf numFmtId="164" fontId="100" fillId="0" borderId="80" xfId="90" applyFont="1" applyBorder="1" applyAlignment="1">
      <alignment vertical="center" wrapText="1"/>
    </xf>
    <xf numFmtId="0" fontId="10" fillId="0" borderId="61" xfId="0" applyFont="1" applyBorder="1" applyAlignment="1">
      <alignment horizontal="center" vertical="center" wrapText="1"/>
    </xf>
    <xf numFmtId="0" fontId="6" fillId="0" borderId="72" xfId="0" applyFont="1" applyBorder="1" applyAlignment="1">
      <alignment horizontal="center" wrapText="1"/>
    </xf>
    <xf numFmtId="0" fontId="6" fillId="0" borderId="111" xfId="0" applyFont="1" applyBorder="1" applyAlignment="1">
      <alignment horizontal="center" wrapText="1"/>
    </xf>
    <xf numFmtId="0" fontId="6" fillId="0" borderId="150" xfId="0" applyFont="1" applyBorder="1" applyAlignment="1">
      <alignment horizontal="center" wrapText="1"/>
    </xf>
    <xf numFmtId="164" fontId="100" fillId="0" borderId="139" xfId="90" applyFont="1" applyBorder="1" applyAlignment="1">
      <alignment vertical="center" wrapText="1"/>
    </xf>
    <xf numFmtId="3" fontId="19" fillId="24" borderId="84" xfId="0" applyNumberFormat="1" applyFont="1" applyFill="1" applyBorder="1" applyAlignment="1" applyProtection="1">
      <alignment wrapText="1"/>
      <protection locked="0"/>
    </xf>
    <xf numFmtId="3" fontId="14" fillId="0" borderId="94" xfId="94" applyNumberFormat="1" applyFont="1" applyBorder="1" applyProtection="1">
      <protection locked="0"/>
    </xf>
    <xf numFmtId="3" fontId="14" fillId="0" borderId="81" xfId="94" applyNumberFormat="1" applyFont="1" applyBorder="1" applyProtection="1">
      <protection locked="0"/>
    </xf>
    <xf numFmtId="3" fontId="14" fillId="0" borderId="130" xfId="94" applyNumberFormat="1" applyFont="1" applyBorder="1" applyProtection="1">
      <protection locked="0"/>
    </xf>
    <xf numFmtId="3" fontId="14" fillId="0" borderId="84" xfId="94" applyNumberFormat="1" applyFont="1" applyBorder="1" applyProtection="1">
      <protection locked="0"/>
    </xf>
    <xf numFmtId="3" fontId="14" fillId="0" borderId="79" xfId="94" applyNumberFormat="1" applyFont="1" applyBorder="1" applyProtection="1">
      <protection locked="0"/>
    </xf>
    <xf numFmtId="3" fontId="14" fillId="0" borderId="87" xfId="94" applyNumberFormat="1" applyFont="1" applyBorder="1" applyProtection="1">
      <protection locked="0"/>
    </xf>
    <xf numFmtId="3" fontId="14" fillId="0" borderId="65" xfId="94" applyNumberFormat="1" applyFont="1" applyBorder="1" applyProtection="1">
      <protection locked="0"/>
    </xf>
    <xf numFmtId="3" fontId="14" fillId="0" borderId="48" xfId="94" applyNumberFormat="1" applyFont="1" applyBorder="1" applyProtection="1">
      <protection locked="0"/>
    </xf>
    <xf numFmtId="3" fontId="14" fillId="0" borderId="67" xfId="94" applyNumberFormat="1" applyFont="1" applyBorder="1" applyProtection="1">
      <protection locked="0"/>
    </xf>
    <xf numFmtId="3" fontId="14" fillId="0" borderId="80" xfId="94" applyNumberFormat="1" applyFont="1" applyBorder="1" applyProtection="1">
      <protection locked="0"/>
    </xf>
    <xf numFmtId="3" fontId="3" fillId="0" borderId="94" xfId="0" applyNumberFormat="1" applyFont="1" applyBorder="1" applyProtection="1">
      <protection locked="0"/>
    </xf>
    <xf numFmtId="3" fontId="3" fillId="0" borderId="81" xfId="0" applyNumberFormat="1" applyFont="1" applyBorder="1" applyProtection="1">
      <protection locked="0"/>
    </xf>
    <xf numFmtId="3" fontId="3" fillId="0" borderId="35" xfId="0" applyNumberFormat="1" applyFont="1" applyBorder="1" applyAlignment="1">
      <alignment horizontal="center"/>
    </xf>
    <xf numFmtId="3" fontId="3" fillId="0" borderId="56" xfId="0" applyNumberFormat="1" applyFont="1" applyBorder="1" applyAlignment="1">
      <alignment horizontal="center"/>
    </xf>
    <xf numFmtId="3" fontId="14" fillId="0" borderId="35" xfId="60" applyNumberFormat="1" applyFont="1" applyBorder="1" applyAlignment="1"/>
    <xf numFmtId="0" fontId="124" fillId="0" borderId="0" xfId="0" applyFont="1" applyAlignment="1">
      <alignment horizontal="left" vertical="top"/>
    </xf>
    <xf numFmtId="0" fontId="13" fillId="0" borderId="51" xfId="0" applyFont="1" applyBorder="1" applyAlignment="1">
      <alignment horizontal="center"/>
    </xf>
    <xf numFmtId="0" fontId="3" fillId="0" borderId="51" xfId="0" applyFont="1" applyBorder="1" applyAlignment="1">
      <alignment horizontal="left"/>
    </xf>
    <xf numFmtId="0" fontId="13" fillId="0" borderId="51" xfId="0" applyFont="1" applyBorder="1" applyAlignment="1">
      <alignment horizontal="left"/>
    </xf>
    <xf numFmtId="0" fontId="13" fillId="0" borderId="35" xfId="0" applyFont="1" applyBorder="1" applyAlignment="1">
      <alignment horizontal="left"/>
    </xf>
    <xf numFmtId="164" fontId="53" fillId="24" borderId="0" xfId="90" applyFont="1" applyFill="1" applyAlignment="1">
      <alignment vertical="center"/>
    </xf>
    <xf numFmtId="164" fontId="15" fillId="0" borderId="0" xfId="90" applyFont="1" applyAlignment="1">
      <alignment vertical="center"/>
    </xf>
    <xf numFmtId="0" fontId="3" fillId="0" borderId="20" xfId="0" applyFont="1" applyBorder="1"/>
    <xf numFmtId="0" fontId="3" fillId="0" borderId="0" xfId="0" applyFont="1" applyAlignment="1">
      <alignment horizontal="center" vertical="top"/>
    </xf>
    <xf numFmtId="0" fontId="2" fillId="0" borderId="0" xfId="0" applyFont="1" applyAlignment="1">
      <alignment horizontal="right" vertical="top"/>
    </xf>
    <xf numFmtId="0" fontId="3" fillId="29" borderId="37" xfId="0" applyFont="1" applyFill="1" applyBorder="1"/>
    <xf numFmtId="0" fontId="3" fillId="29" borderId="36" xfId="0" applyFont="1" applyFill="1" applyBorder="1"/>
    <xf numFmtId="0" fontId="6" fillId="29" borderId="151" xfId="0" applyFont="1" applyFill="1" applyBorder="1" applyAlignment="1">
      <alignment horizontal="centerContinuous" vertical="center" wrapText="1"/>
    </xf>
    <xf numFmtId="0" fontId="6" fillId="29" borderId="44" xfId="0" applyFont="1" applyFill="1" applyBorder="1" applyAlignment="1">
      <alignment horizontal="centerContinuous" vertical="center" wrapText="1"/>
    </xf>
    <xf numFmtId="0" fontId="20" fillId="0" borderId="0" xfId="0" applyFont="1" applyAlignment="1">
      <alignment horizontal="center" vertical="top"/>
    </xf>
    <xf numFmtId="0" fontId="20" fillId="29" borderId="20" xfId="0" applyFont="1" applyFill="1" applyBorder="1" applyAlignment="1">
      <alignment horizontal="center"/>
    </xf>
    <xf numFmtId="0" fontId="20" fillId="29" borderId="40" xfId="0" applyFont="1" applyFill="1" applyBorder="1" applyAlignment="1">
      <alignment horizontal="center"/>
    </xf>
    <xf numFmtId="0" fontId="125" fillId="0" borderId="0" xfId="0" applyFont="1" applyAlignment="1">
      <alignment horizontal="center" vertical="center"/>
    </xf>
    <xf numFmtId="168" fontId="3" fillId="29" borderId="124" xfId="0" applyNumberFormat="1" applyFont="1" applyFill="1" applyBorder="1"/>
    <xf numFmtId="168" fontId="3" fillId="29" borderId="128" xfId="0" applyNumberFormat="1" applyFont="1" applyFill="1" applyBorder="1"/>
    <xf numFmtId="168" fontId="3" fillId="29" borderId="49" xfId="0" applyNumberFormat="1" applyFont="1" applyFill="1" applyBorder="1"/>
    <xf numFmtId="168" fontId="3" fillId="29" borderId="72" xfId="0" applyNumberFormat="1" applyFont="1" applyFill="1" applyBorder="1"/>
    <xf numFmtId="168" fontId="3" fillId="29" borderId="74" xfId="0" applyNumberFormat="1" applyFont="1" applyFill="1" applyBorder="1"/>
    <xf numFmtId="168" fontId="3" fillId="29" borderId="76" xfId="0" applyNumberFormat="1" applyFont="1" applyFill="1" applyBorder="1"/>
    <xf numFmtId="164" fontId="5" fillId="0" borderId="0" xfId="90" applyFont="1" applyAlignment="1">
      <alignment vertical="center"/>
    </xf>
    <xf numFmtId="164" fontId="3" fillId="0" borderId="80" xfId="90" applyFont="1" applyBorder="1" applyAlignment="1">
      <alignment vertical="center"/>
    </xf>
    <xf numFmtId="49" fontId="15" fillId="0" borderId="35" xfId="90" applyNumberFormat="1" applyFont="1" applyBorder="1" applyAlignment="1" applyProtection="1">
      <alignment horizontal="left" vertical="center"/>
      <protection locked="0"/>
    </xf>
    <xf numFmtId="49" fontId="8" fillId="0" borderId="59" xfId="43" applyNumberFormat="1" applyFill="1" applyBorder="1" applyAlignment="1" applyProtection="1">
      <alignment horizontal="left" vertical="center"/>
      <protection locked="0"/>
    </xf>
    <xf numFmtId="49" fontId="15" fillId="0" borderId="35" xfId="0" applyNumberFormat="1" applyFont="1" applyBorder="1" applyAlignment="1" applyProtection="1">
      <alignment horizontal="left"/>
      <protection locked="0"/>
    </xf>
    <xf numFmtId="164" fontId="15" fillId="0" borderId="0" xfId="90" applyFont="1" applyAlignment="1">
      <alignment horizontal="left" vertical="center"/>
    </xf>
    <xf numFmtId="0" fontId="23" fillId="0" borderId="0" xfId="0" applyFont="1" applyAlignment="1">
      <alignment wrapText="1"/>
    </xf>
    <xf numFmtId="0" fontId="15" fillId="0" borderId="124" xfId="0" applyFont="1" applyBorder="1" applyAlignment="1">
      <alignment horizontal="left" vertical="center" wrapText="1"/>
    </xf>
    <xf numFmtId="3" fontId="3" fillId="24" borderId="125" xfId="0" applyNumberFormat="1" applyFont="1" applyFill="1" applyBorder="1" applyAlignment="1">
      <alignment horizontal="center" vertical="center"/>
    </xf>
    <xf numFmtId="0" fontId="15" fillId="0" borderId="49" xfId="0" applyFont="1" applyBorder="1" applyAlignment="1">
      <alignment horizontal="left" vertical="center" wrapText="1"/>
    </xf>
    <xf numFmtId="3" fontId="3" fillId="24" borderId="35" xfId="0" applyNumberFormat="1" applyFont="1" applyFill="1" applyBorder="1" applyAlignment="1">
      <alignment horizontal="center" vertical="center"/>
    </xf>
    <xf numFmtId="0" fontId="15" fillId="0" borderId="60" xfId="0" applyFont="1" applyBorder="1" applyAlignment="1">
      <alignment horizontal="left" vertical="center" wrapText="1"/>
    </xf>
    <xf numFmtId="3" fontId="3" fillId="24" borderId="52" xfId="0" applyNumberFormat="1" applyFont="1" applyFill="1" applyBorder="1" applyAlignment="1">
      <alignment horizontal="center" vertical="center"/>
    </xf>
    <xf numFmtId="0" fontId="10" fillId="0" borderId="74" xfId="0" applyFont="1" applyBorder="1" applyAlignment="1">
      <alignment horizontal="center" vertical="center" wrapText="1"/>
    </xf>
    <xf numFmtId="0" fontId="10" fillId="0" borderId="75" xfId="0" applyFont="1" applyBorder="1" applyAlignment="1">
      <alignment horizontal="center" vertical="center" wrapText="1"/>
    </xf>
    <xf numFmtId="0" fontId="10" fillId="0" borderId="76" xfId="0" applyFont="1" applyBorder="1" applyAlignment="1">
      <alignment horizontal="center" vertical="center" wrapText="1"/>
    </xf>
    <xf numFmtId="0" fontId="3" fillId="0" borderId="18" xfId="0" applyFont="1" applyBorder="1" applyAlignment="1">
      <alignment horizontal="left" vertical="center" wrapText="1"/>
    </xf>
    <xf numFmtId="3" fontId="3" fillId="24" borderId="51" xfId="0" applyNumberFormat="1" applyFont="1" applyFill="1" applyBorder="1" applyAlignment="1">
      <alignment horizontal="center" vertical="center"/>
    </xf>
    <xf numFmtId="3" fontId="3" fillId="0" borderId="51" xfId="0" applyNumberFormat="1" applyFont="1" applyBorder="1" applyAlignment="1">
      <alignment horizontal="center" vertical="center"/>
    </xf>
    <xf numFmtId="0" fontId="3" fillId="0" borderId="60" xfId="0" applyFont="1" applyBorder="1" applyAlignment="1">
      <alignment horizontal="left" vertical="center" wrapText="1"/>
    </xf>
    <xf numFmtId="3" fontId="3" fillId="0" borderId="52" xfId="0" applyNumberFormat="1" applyFont="1" applyBorder="1" applyAlignment="1">
      <alignment horizontal="center" vertical="center"/>
    </xf>
    <xf numFmtId="0" fontId="25" fillId="0" borderId="0" xfId="0" applyFont="1"/>
    <xf numFmtId="3" fontId="15" fillId="0" borderId="35" xfId="0" applyNumberFormat="1" applyFont="1" applyBorder="1" applyAlignment="1">
      <alignment vertical="center"/>
    </xf>
    <xf numFmtId="4" fontId="3" fillId="0" borderId="49" xfId="0" applyNumberFormat="1" applyFont="1" applyBorder="1" applyAlignment="1">
      <alignment horizontal="justify"/>
    </xf>
    <xf numFmtId="3" fontId="15" fillId="0" borderId="35" xfId="0" applyNumberFormat="1" applyFont="1" applyBorder="1" applyAlignment="1">
      <alignment horizontal="right" vertical="center"/>
    </xf>
    <xf numFmtId="0" fontId="3" fillId="0" borderId="49" xfId="0" applyFont="1" applyBorder="1" applyAlignment="1">
      <alignment horizontal="justify"/>
    </xf>
    <xf numFmtId="3" fontId="15" fillId="0" borderId="52" xfId="0" applyNumberFormat="1" applyFont="1" applyBorder="1" applyAlignment="1">
      <alignment vertical="center"/>
    </xf>
    <xf numFmtId="0" fontId="23" fillId="0" borderId="74" xfId="0" applyFont="1" applyBorder="1" applyAlignment="1">
      <alignment horizontal="center" vertical="center" wrapText="1"/>
    </xf>
    <xf numFmtId="3" fontId="23" fillId="0" borderId="75" xfId="0" applyNumberFormat="1" applyFont="1" applyBorder="1" applyAlignment="1">
      <alignment vertical="center"/>
    </xf>
    <xf numFmtId="0" fontId="9" fillId="30" borderId="76" xfId="0" applyFont="1" applyFill="1" applyBorder="1" applyAlignment="1">
      <alignment horizontal="center" vertical="center" wrapText="1"/>
    </xf>
    <xf numFmtId="0" fontId="0" fillId="0" borderId="125" xfId="0" applyBorder="1"/>
    <xf numFmtId="0" fontId="0" fillId="0" borderId="128" xfId="0" applyBorder="1"/>
    <xf numFmtId="0" fontId="3" fillId="0" borderId="35" xfId="0" applyFont="1" applyBorder="1" applyAlignment="1">
      <alignment horizontal="justify" vertical="center" wrapText="1"/>
    </xf>
    <xf numFmtId="0" fontId="9" fillId="30" borderId="76" xfId="0" applyFont="1" applyFill="1" applyBorder="1" applyAlignment="1">
      <alignment horizontal="center" vertical="center"/>
    </xf>
    <xf numFmtId="0" fontId="101" fillId="0" borderId="0" xfId="0" applyFont="1"/>
    <xf numFmtId="1" fontId="0" fillId="0" borderId="0" xfId="0" applyNumberFormat="1"/>
    <xf numFmtId="0" fontId="6" fillId="0" borderId="0" xfId="0" applyFont="1"/>
    <xf numFmtId="0" fontId="126" fillId="0" borderId="0" xfId="0" applyFont="1"/>
    <xf numFmtId="0" fontId="3" fillId="0" borderId="63" xfId="0" applyFont="1" applyBorder="1" applyAlignment="1">
      <alignment horizontal="center"/>
    </xf>
    <xf numFmtId="0" fontId="15" fillId="0" borderId="51" xfId="0" applyFont="1" applyBorder="1" applyAlignment="1">
      <alignment horizontal="center"/>
    </xf>
    <xf numFmtId="0" fontId="3" fillId="0" borderId="38" xfId="0" applyFont="1" applyBorder="1" applyAlignment="1">
      <alignment horizontal="justify"/>
    </xf>
    <xf numFmtId="0" fontId="104" fillId="0" borderId="0" xfId="0" applyFont="1" applyAlignment="1">
      <alignment wrapText="1"/>
    </xf>
    <xf numFmtId="0" fontId="0" fillId="0" borderId="0" xfId="0" applyProtection="1">
      <protection locked="0"/>
    </xf>
    <xf numFmtId="0" fontId="59" fillId="0" borderId="0" xfId="0" applyFont="1" applyAlignment="1">
      <alignment horizontal="center" vertical="center" wrapText="1"/>
    </xf>
    <xf numFmtId="40" fontId="3" fillId="24" borderId="125" xfId="60" applyFont="1" applyFill="1" applyBorder="1" applyAlignment="1">
      <alignment horizontal="center"/>
    </xf>
    <xf numFmtId="40" fontId="3" fillId="24" borderId="35" xfId="60" applyFont="1" applyFill="1" applyBorder="1" applyAlignment="1">
      <alignment horizontal="center"/>
    </xf>
    <xf numFmtId="40" fontId="3" fillId="24" borderId="52" xfId="60" applyFont="1" applyFill="1" applyBorder="1" applyAlignment="1">
      <alignment horizontal="center"/>
    </xf>
    <xf numFmtId="0" fontId="3" fillId="0" borderId="20" xfId="0" applyFont="1" applyBorder="1" applyAlignment="1">
      <alignment horizontal="justify"/>
    </xf>
    <xf numFmtId="0" fontId="23" fillId="0" borderId="124" xfId="0" applyFont="1" applyBorder="1" applyAlignment="1">
      <alignment horizontal="center" vertical="center"/>
    </xf>
    <xf numFmtId="0" fontId="23" fillId="0" borderId="128" xfId="0" applyFont="1" applyBorder="1" applyAlignment="1">
      <alignment horizontal="center" vertical="center" wrapText="1"/>
    </xf>
    <xf numFmtId="0" fontId="23" fillId="24" borderId="0" xfId="0" applyFont="1" applyFill="1" applyAlignment="1">
      <alignment horizontal="center" vertical="center" wrapText="1"/>
    </xf>
    <xf numFmtId="0" fontId="15" fillId="0" borderId="49" xfId="0" applyFont="1" applyBorder="1" applyAlignment="1">
      <alignment horizontal="centerContinuous"/>
    </xf>
    <xf numFmtId="0" fontId="98" fillId="0" borderId="63" xfId="0" applyFont="1" applyBorder="1" applyAlignment="1">
      <alignment horizontal="center"/>
    </xf>
    <xf numFmtId="0" fontId="105" fillId="0" borderId="124" xfId="0" applyFont="1" applyBorder="1" applyAlignment="1">
      <alignment horizontal="center"/>
    </xf>
    <xf numFmtId="0" fontId="105" fillId="0" borderId="125" xfId="0" applyFont="1" applyBorder="1" applyAlignment="1">
      <alignment horizontal="center"/>
    </xf>
    <xf numFmtId="0" fontId="105" fillId="0" borderId="128" xfId="0" applyFont="1" applyBorder="1" applyAlignment="1">
      <alignment horizontal="center"/>
    </xf>
    <xf numFmtId="0" fontId="105" fillId="0" borderId="0" xfId="0" applyFont="1" applyAlignment="1">
      <alignment horizontal="center"/>
    </xf>
    <xf numFmtId="0" fontId="10" fillId="0" borderId="49" xfId="0" applyFont="1" applyBorder="1" applyAlignment="1">
      <alignment horizontal="center" vertical="center"/>
    </xf>
    <xf numFmtId="0" fontId="10" fillId="0" borderId="63" xfId="0" applyFont="1" applyBorder="1" applyAlignment="1">
      <alignment horizontal="center" vertical="center" wrapText="1"/>
    </xf>
    <xf numFmtId="1" fontId="11" fillId="0" borderId="49" xfId="0" applyNumberFormat="1" applyFont="1" applyBorder="1" applyAlignment="1">
      <alignment horizontal="center" vertical="center" wrapText="1"/>
    </xf>
    <xf numFmtId="0" fontId="11" fillId="0" borderId="72" xfId="0" applyFont="1" applyBorder="1" applyAlignment="1">
      <alignment horizontal="center" vertical="center" wrapText="1"/>
    </xf>
    <xf numFmtId="3" fontId="15" fillId="24" borderId="0" xfId="0" applyNumberFormat="1" applyFont="1" applyFill="1" applyProtection="1">
      <protection locked="0"/>
    </xf>
    <xf numFmtId="0" fontId="11" fillId="0" borderId="49" xfId="0" applyFont="1" applyBorder="1" applyAlignment="1">
      <alignment horizontal="center" vertical="center" wrapText="1"/>
    </xf>
    <xf numFmtId="0" fontId="15" fillId="0" borderId="49" xfId="0" applyFont="1" applyBorder="1" applyAlignment="1">
      <alignment horizontal="left"/>
    </xf>
    <xf numFmtId="4" fontId="15" fillId="24" borderId="49" xfId="0" applyNumberFormat="1" applyFont="1" applyFill="1" applyBorder="1" applyProtection="1">
      <protection locked="0"/>
    </xf>
    <xf numFmtId="4" fontId="15" fillId="24" borderId="35" xfId="0" applyNumberFormat="1" applyFont="1" applyFill="1" applyBorder="1" applyProtection="1">
      <protection locked="0"/>
    </xf>
    <xf numFmtId="4" fontId="15" fillId="24" borderId="72" xfId="0" applyNumberFormat="1" applyFont="1" applyFill="1" applyBorder="1" applyProtection="1">
      <protection locked="0"/>
    </xf>
    <xf numFmtId="3" fontId="15" fillId="24" borderId="49" xfId="0" applyNumberFormat="1" applyFont="1" applyFill="1" applyBorder="1" applyProtection="1">
      <protection locked="0"/>
    </xf>
    <xf numFmtId="3" fontId="15" fillId="24" borderId="35" xfId="0" applyNumberFormat="1" applyFont="1" applyFill="1" applyBorder="1" applyProtection="1">
      <protection locked="0"/>
    </xf>
    <xf numFmtId="3" fontId="15" fillId="24" borderId="72" xfId="0" applyNumberFormat="1" applyFont="1" applyFill="1" applyBorder="1" applyProtection="1">
      <protection locked="0"/>
    </xf>
    <xf numFmtId="0" fontId="15" fillId="0" borderId="49" xfId="0" applyFont="1" applyBorder="1" applyAlignment="1">
      <alignment horizontal="center"/>
    </xf>
    <xf numFmtId="0" fontId="15" fillId="0" borderId="72" xfId="0" applyFont="1" applyBorder="1" applyAlignment="1">
      <alignment horizontal="center"/>
    </xf>
    <xf numFmtId="0" fontId="5" fillId="0" borderId="74" xfId="0" applyFont="1" applyBorder="1" applyAlignment="1">
      <alignment horizontal="right" vertical="center"/>
    </xf>
    <xf numFmtId="0" fontId="15" fillId="0" borderId="152" xfId="0" applyFont="1" applyBorder="1" applyAlignment="1">
      <alignment horizontal="center"/>
    </xf>
    <xf numFmtId="4" fontId="15" fillId="0" borderId="74" xfId="60" applyNumberFormat="1" applyFont="1" applyFill="1" applyBorder="1" applyAlignment="1"/>
    <xf numFmtId="4" fontId="15" fillId="0" borderId="75" xfId="60" applyNumberFormat="1" applyFont="1" applyFill="1" applyBorder="1" applyAlignment="1"/>
    <xf numFmtId="4" fontId="15" fillId="0" borderId="76" xfId="60" applyNumberFormat="1" applyFont="1" applyFill="1" applyBorder="1" applyAlignment="1"/>
    <xf numFmtId="38" fontId="15" fillId="0" borderId="74" xfId="60" applyNumberFormat="1" applyFont="1" applyFill="1" applyBorder="1" applyAlignment="1"/>
    <xf numFmtId="38" fontId="15" fillId="0" borderId="75" xfId="60" applyNumberFormat="1" applyFont="1" applyFill="1" applyBorder="1" applyAlignment="1"/>
    <xf numFmtId="38" fontId="15" fillId="0" borderId="76" xfId="60" applyNumberFormat="1" applyFont="1" applyFill="1" applyBorder="1" applyAlignment="1"/>
    <xf numFmtId="0" fontId="15" fillId="0" borderId="74" xfId="0" applyFont="1" applyBorder="1" applyAlignment="1">
      <alignment horizontal="center"/>
    </xf>
    <xf numFmtId="0" fontId="15" fillId="0" borderId="76" xfId="0" applyFont="1" applyBorder="1" applyAlignment="1">
      <alignment horizontal="center"/>
    </xf>
    <xf numFmtId="164" fontId="3" fillId="0" borderId="0" xfId="90" applyFont="1" applyAlignment="1">
      <alignment vertical="center"/>
    </xf>
    <xf numFmtId="38" fontId="0" fillId="0" borderId="0" xfId="0" applyNumberFormat="1"/>
    <xf numFmtId="38" fontId="3" fillId="0" borderId="0" xfId="93" applyNumberFormat="1" applyFont="1"/>
    <xf numFmtId="38" fontId="3" fillId="0" borderId="0" xfId="94" applyNumberFormat="1" applyFont="1"/>
    <xf numFmtId="38" fontId="3" fillId="0" borderId="0" xfId="95" applyNumberFormat="1" applyFont="1"/>
    <xf numFmtId="38" fontId="3" fillId="0" borderId="0" xfId="96" applyNumberFormat="1" applyFont="1"/>
    <xf numFmtId="38" fontId="15" fillId="0" borderId="0" xfId="97" applyNumberFormat="1"/>
    <xf numFmtId="38" fontId="3" fillId="0" borderId="0" xfId="0" applyNumberFormat="1" applyFont="1"/>
    <xf numFmtId="38" fontId="3" fillId="0" borderId="0" xfId="98" applyNumberFormat="1" applyFont="1"/>
    <xf numFmtId="0" fontId="10" fillId="0" borderId="153" xfId="0" applyFont="1" applyBorder="1" applyAlignment="1">
      <alignment horizontal="center" vertical="center"/>
    </xf>
    <xf numFmtId="0" fontId="6" fillId="31" borderId="47" xfId="93" applyFont="1" applyFill="1" applyBorder="1" applyAlignment="1">
      <alignment horizontal="center"/>
    </xf>
    <xf numFmtId="0" fontId="6" fillId="0" borderId="47" xfId="93" applyFont="1" applyBorder="1" applyAlignment="1">
      <alignment horizontal="center"/>
    </xf>
    <xf numFmtId="38" fontId="3" fillId="0" borderId="0" xfId="60" applyNumberFormat="1" applyFont="1"/>
    <xf numFmtId="3" fontId="15" fillId="0" borderId="35" xfId="0" applyNumberFormat="1" applyFont="1" applyBorder="1" applyProtection="1">
      <protection locked="0"/>
    </xf>
    <xf numFmtId="3" fontId="15" fillId="0" borderId="52" xfId="0" applyNumberFormat="1" applyFont="1" applyBorder="1" applyProtection="1">
      <protection locked="0"/>
    </xf>
    <xf numFmtId="0" fontId="15" fillId="0" borderId="73" xfId="0" applyFont="1" applyBorder="1" applyAlignment="1" applyProtection="1">
      <alignment wrapText="1"/>
      <protection locked="0"/>
    </xf>
    <xf numFmtId="168" fontId="3" fillId="24" borderId="65" xfId="0" applyNumberFormat="1" applyFont="1" applyFill="1" applyBorder="1" applyProtection="1">
      <protection locked="0"/>
    </xf>
    <xf numFmtId="168" fontId="3" fillId="24" borderId="48" xfId="0" applyNumberFormat="1" applyFont="1" applyFill="1" applyBorder="1" applyProtection="1">
      <protection locked="0"/>
    </xf>
    <xf numFmtId="168" fontId="3" fillId="0" borderId="65" xfId="0" applyNumberFormat="1" applyFont="1" applyBorder="1" applyProtection="1">
      <protection locked="0"/>
    </xf>
    <xf numFmtId="168" fontId="3" fillId="0" borderId="48" xfId="0" applyNumberFormat="1" applyFont="1" applyBorder="1" applyProtection="1">
      <protection locked="0"/>
    </xf>
    <xf numFmtId="168" fontId="3" fillId="24" borderId="79" xfId="0" applyNumberFormat="1" applyFont="1" applyFill="1" applyBorder="1" applyProtection="1">
      <protection locked="0"/>
    </xf>
    <xf numFmtId="168" fontId="3" fillId="0" borderId="79" xfId="0" applyNumberFormat="1" applyFont="1" applyBorder="1" applyProtection="1">
      <protection locked="0"/>
    </xf>
    <xf numFmtId="168" fontId="3" fillId="0" borderId="94" xfId="98" applyNumberFormat="1" applyFont="1" applyBorder="1" applyProtection="1">
      <protection locked="0"/>
    </xf>
    <xf numFmtId="168" fontId="3" fillId="0" borderId="81" xfId="98" applyNumberFormat="1" applyFont="1" applyBorder="1" applyProtection="1">
      <protection locked="0"/>
    </xf>
    <xf numFmtId="168" fontId="3" fillId="0" borderId="141" xfId="98" applyNumberFormat="1" applyFont="1" applyBorder="1" applyProtection="1">
      <protection locked="0"/>
    </xf>
    <xf numFmtId="168" fontId="3" fillId="0" borderId="42" xfId="98" applyNumberFormat="1" applyFont="1" applyBorder="1" applyProtection="1">
      <protection locked="0"/>
    </xf>
    <xf numFmtId="168" fontId="3" fillId="0" borderId="54" xfId="98" applyNumberFormat="1" applyFont="1" applyBorder="1" applyProtection="1">
      <protection locked="0"/>
    </xf>
    <xf numFmtId="168" fontId="3" fillId="0" borderId="84" xfId="98" applyNumberFormat="1" applyFont="1" applyBorder="1" applyProtection="1">
      <protection locked="0"/>
    </xf>
    <xf numFmtId="168" fontId="3" fillId="0" borderId="79" xfId="98" applyNumberFormat="1" applyFont="1" applyBorder="1" applyProtection="1">
      <protection locked="0"/>
    </xf>
    <xf numFmtId="168" fontId="3" fillId="0" borderId="88" xfId="98" applyNumberFormat="1" applyFont="1" applyBorder="1" applyProtection="1">
      <protection locked="0"/>
    </xf>
    <xf numFmtId="168" fontId="3" fillId="0" borderId="87" xfId="98" applyNumberFormat="1" applyFont="1" applyBorder="1" applyProtection="1">
      <protection locked="0"/>
    </xf>
    <xf numFmtId="168" fontId="3" fillId="0" borderId="66" xfId="0" applyNumberFormat="1" applyFont="1" applyBorder="1" applyProtection="1">
      <protection locked="0"/>
    </xf>
    <xf numFmtId="168" fontId="3" fillId="0" borderId="67" xfId="0" applyNumberFormat="1" applyFont="1" applyBorder="1" applyProtection="1">
      <protection locked="0"/>
    </xf>
    <xf numFmtId="168" fontId="3" fillId="0" borderId="68" xfId="0" applyNumberFormat="1" applyFont="1" applyBorder="1" applyProtection="1">
      <protection locked="0"/>
    </xf>
    <xf numFmtId="0" fontId="6" fillId="0" borderId="109" xfId="0" applyFont="1" applyBorder="1" applyAlignment="1">
      <alignment horizontal="center" vertical="center"/>
    </xf>
    <xf numFmtId="0" fontId="24" fillId="0" borderId="80" xfId="0" applyFont="1" applyBorder="1" applyAlignment="1">
      <alignment horizontal="center"/>
    </xf>
    <xf numFmtId="0" fontId="24" fillId="0" borderId="0" xfId="0" applyFont="1" applyAlignment="1">
      <alignment horizontal="center"/>
    </xf>
    <xf numFmtId="0" fontId="24" fillId="0" borderId="139" xfId="0" applyFont="1" applyBorder="1" applyAlignment="1">
      <alignment horizontal="center"/>
    </xf>
    <xf numFmtId="0" fontId="15" fillId="0" borderId="80" xfId="0" applyFont="1" applyBorder="1" applyAlignment="1">
      <alignment horizontal="center"/>
    </xf>
    <xf numFmtId="0" fontId="24" fillId="0" borderId="63" xfId="0" applyFont="1" applyBorder="1" applyAlignment="1">
      <alignment horizontal="center"/>
    </xf>
    <xf numFmtId="0" fontId="24" fillId="0" borderId="58" xfId="0" applyFont="1" applyBorder="1" applyAlignment="1">
      <alignment horizontal="center"/>
    </xf>
    <xf numFmtId="0" fontId="24" fillId="0" borderId="87" xfId="0" applyFont="1" applyBorder="1" applyAlignment="1">
      <alignment horizontal="center"/>
    </xf>
    <xf numFmtId="0" fontId="24" fillId="0" borderId="154" xfId="0" applyFont="1" applyBorder="1" applyAlignment="1">
      <alignment horizontal="center"/>
    </xf>
    <xf numFmtId="3" fontId="24" fillId="0" borderId="80" xfId="0" applyNumberFormat="1" applyFont="1" applyBorder="1" applyAlignment="1">
      <alignment horizontal="center"/>
    </xf>
    <xf numFmtId="0" fontId="7" fillId="0" borderId="0" xfId="0" applyFont="1" applyAlignment="1">
      <alignment vertical="top"/>
    </xf>
    <xf numFmtId="0" fontId="18" fillId="0" borderId="26" xfId="0" applyFont="1" applyBorder="1" applyAlignment="1">
      <alignment horizontal="center" vertical="center" wrapText="1"/>
    </xf>
    <xf numFmtId="0" fontId="2" fillId="0" borderId="0" xfId="0" applyFont="1" applyAlignment="1">
      <alignment wrapText="1"/>
    </xf>
    <xf numFmtId="0" fontId="2" fillId="0" borderId="0" xfId="0" applyFont="1"/>
    <xf numFmtId="0" fontId="23" fillId="0" borderId="20" xfId="0" applyFont="1" applyBorder="1" applyAlignment="1">
      <alignment horizontal="left" wrapText="1"/>
    </xf>
    <xf numFmtId="0" fontId="23" fillId="0" borderId="0" xfId="0" applyFont="1" applyAlignment="1">
      <alignment horizontal="left" wrapText="1"/>
    </xf>
    <xf numFmtId="0" fontId="23" fillId="0" borderId="40" xfId="0" applyFont="1" applyBorder="1" applyAlignment="1">
      <alignment horizontal="left" wrapText="1"/>
    </xf>
    <xf numFmtId="0" fontId="3" fillId="0" borderId="120" xfId="0" applyFont="1" applyBorder="1"/>
    <xf numFmtId="0" fontId="2" fillId="0" borderId="120" xfId="0" applyFont="1" applyBorder="1" applyAlignment="1">
      <alignment vertical="top" wrapText="1"/>
    </xf>
    <xf numFmtId="0" fontId="2" fillId="0" borderId="120" xfId="0" applyFont="1" applyBorder="1"/>
    <xf numFmtId="0" fontId="127" fillId="0" borderId="97" xfId="0" applyFont="1" applyBorder="1" applyAlignment="1">
      <alignment horizontal="center" vertical="center" wrapText="1"/>
    </xf>
    <xf numFmtId="0" fontId="127" fillId="0" borderId="150" xfId="0" applyFont="1" applyBorder="1" applyAlignment="1">
      <alignment horizontal="center" vertical="center" wrapText="1"/>
    </xf>
    <xf numFmtId="0" fontId="127" fillId="0" borderId="128" xfId="0" applyFont="1" applyBorder="1" applyAlignment="1">
      <alignment horizontal="center" vertical="center" wrapText="1"/>
    </xf>
    <xf numFmtId="0" fontId="127" fillId="0" borderId="72" xfId="0" applyFont="1" applyBorder="1" applyAlignment="1">
      <alignment horizontal="center" vertical="center" wrapText="1"/>
    </xf>
    <xf numFmtId="38" fontId="3" fillId="0" borderId="35" xfId="60" applyNumberFormat="1" applyFont="1" applyBorder="1" applyAlignment="1"/>
    <xf numFmtId="0" fontId="7" fillId="0" borderId="0" xfId="70" applyFont="1" applyAlignment="1">
      <alignment vertical="top" wrapText="1"/>
    </xf>
    <xf numFmtId="0" fontId="126" fillId="0" borderId="0" xfId="70" applyFont="1" applyAlignment="1" applyProtection="1">
      <alignment horizontal="centerContinuous" vertical="center"/>
      <protection hidden="1"/>
    </xf>
    <xf numFmtId="0" fontId="126" fillId="0" borderId="0" xfId="70" applyFont="1" applyAlignment="1" applyProtection="1">
      <alignment horizontal="center" vertical="center"/>
      <protection hidden="1"/>
    </xf>
    <xf numFmtId="0" fontId="126" fillId="0" borderId="0" xfId="85" applyFont="1" applyAlignment="1" applyProtection="1">
      <alignment horizontal="center" vertical="center"/>
      <protection hidden="1"/>
    </xf>
    <xf numFmtId="0" fontId="128" fillId="0" borderId="0" xfId="85" applyFont="1" applyAlignment="1">
      <alignment wrapText="1"/>
    </xf>
    <xf numFmtId="0" fontId="128" fillId="0" borderId="0" xfId="85" applyFont="1"/>
    <xf numFmtId="0" fontId="128" fillId="0" borderId="0" xfId="85" applyFont="1" applyAlignment="1">
      <alignment vertical="center" wrapText="1"/>
    </xf>
    <xf numFmtId="0" fontId="128" fillId="0" borderId="0" xfId="85" applyFont="1" applyAlignment="1">
      <alignment vertical="center"/>
    </xf>
    <xf numFmtId="0" fontId="129" fillId="0" borderId="0" xfId="85" applyFont="1" applyAlignment="1">
      <alignment vertical="center" wrapText="1"/>
    </xf>
    <xf numFmtId="0" fontId="130" fillId="0" borderId="0" xfId="85" applyFont="1" applyAlignment="1">
      <alignment vertical="center"/>
    </xf>
    <xf numFmtId="0" fontId="128" fillId="0" borderId="0" xfId="85" applyFont="1" applyAlignment="1" applyProtection="1">
      <alignment vertical="center"/>
      <protection hidden="1"/>
    </xf>
    <xf numFmtId="0" fontId="131" fillId="0" borderId="0" xfId="85" applyFont="1" applyAlignment="1">
      <alignment horizontal="center" vertical="center"/>
    </xf>
    <xf numFmtId="0" fontId="132" fillId="0" borderId="0" xfId="85" applyFont="1" applyAlignment="1">
      <alignment horizontal="center" vertical="center"/>
    </xf>
    <xf numFmtId="0" fontId="128" fillId="0" borderId="0" xfId="85" applyFont="1" applyAlignment="1" applyProtection="1">
      <alignment horizontal="center" vertical="center"/>
      <protection hidden="1"/>
    </xf>
    <xf numFmtId="0" fontId="130" fillId="0" borderId="0" xfId="85" applyFont="1" applyAlignment="1">
      <alignment horizontal="center" vertical="center"/>
    </xf>
    <xf numFmtId="0" fontId="133" fillId="0" borderId="0" xfId="85" applyFont="1" applyAlignment="1">
      <alignment vertical="center" wrapText="1"/>
    </xf>
    <xf numFmtId="14" fontId="130" fillId="0" borderId="35" xfId="70" applyNumberFormat="1" applyFont="1" applyBorder="1" applyAlignment="1" applyProtection="1">
      <alignment horizontal="center" vertical="center" wrapText="1"/>
      <protection locked="0"/>
    </xf>
    <xf numFmtId="14" fontId="128" fillId="0" borderId="0" xfId="85" applyNumberFormat="1" applyFont="1" applyAlignment="1">
      <alignment vertical="center"/>
    </xf>
    <xf numFmtId="0" fontId="129" fillId="0" borderId="0" xfId="85" applyFont="1" applyAlignment="1">
      <alignment horizontal="center" vertical="center" wrapText="1"/>
    </xf>
    <xf numFmtId="0" fontId="128" fillId="0" borderId="0" xfId="76" applyFont="1" applyAlignment="1">
      <alignment vertical="center"/>
    </xf>
    <xf numFmtId="0" fontId="128" fillId="0" borderId="0" xfId="76" applyFont="1" applyAlignment="1" applyProtection="1">
      <alignment horizontal="center" vertical="center"/>
      <protection hidden="1"/>
    </xf>
    <xf numFmtId="0" fontId="4" fillId="0" borderId="0" xfId="85" applyFont="1" applyAlignment="1">
      <alignment horizontal="center" vertical="center"/>
    </xf>
    <xf numFmtId="0" fontId="15" fillId="0" borderId="0" xfId="85" applyFont="1" applyAlignment="1">
      <alignment horizontal="center" vertical="center" wrapText="1"/>
    </xf>
    <xf numFmtId="0" fontId="134" fillId="0" borderId="0" xfId="85" applyFont="1" applyAlignment="1">
      <alignment horizontal="center" vertical="center" wrapText="1"/>
    </xf>
    <xf numFmtId="0" fontId="135" fillId="0" borderId="0" xfId="85" applyFont="1" applyAlignment="1">
      <alignment horizontal="center" vertical="center" wrapText="1"/>
    </xf>
    <xf numFmtId="0" fontId="136" fillId="0" borderId="0" xfId="85" applyFont="1" applyAlignment="1">
      <alignment horizontal="center" vertical="center"/>
    </xf>
    <xf numFmtId="0" fontId="137" fillId="0" borderId="0" xfId="76" applyFont="1" applyAlignment="1">
      <alignment vertical="center" wrapText="1"/>
    </xf>
    <xf numFmtId="0" fontId="128" fillId="0" borderId="0" xfId="70" applyFont="1" applyAlignment="1">
      <alignment horizontal="center" vertical="center"/>
    </xf>
    <xf numFmtId="0" fontId="135" fillId="0" borderId="0" xfId="85" applyFont="1"/>
    <xf numFmtId="0" fontId="130" fillId="0" borderId="0" xfId="85" applyFont="1"/>
    <xf numFmtId="0" fontId="126" fillId="0" borderId="0" xfId="76" applyFont="1" applyAlignment="1" applyProtection="1">
      <alignment horizontal="center" vertical="center"/>
      <protection hidden="1"/>
    </xf>
    <xf numFmtId="0" fontId="128" fillId="0" borderId="0" xfId="76" applyFont="1" applyAlignment="1">
      <alignment wrapText="1"/>
    </xf>
    <xf numFmtId="0" fontId="128" fillId="0" borderId="0" xfId="76" applyFont="1"/>
    <xf numFmtId="0" fontId="128" fillId="0" borderId="0" xfId="76" applyFont="1" applyAlignment="1">
      <alignment vertical="center" wrapText="1"/>
    </xf>
    <xf numFmtId="0" fontId="129" fillId="0" borderId="0" xfId="76" applyFont="1" applyAlignment="1">
      <alignment vertical="center" wrapText="1"/>
    </xf>
    <xf numFmtId="0" fontId="130" fillId="0" borderId="0" xfId="76" applyFont="1" applyAlignment="1">
      <alignment vertical="center"/>
    </xf>
    <xf numFmtId="0" fontId="128" fillId="0" borderId="0" xfId="76" applyFont="1" applyAlignment="1" applyProtection="1">
      <alignment vertical="center"/>
      <protection hidden="1"/>
    </xf>
    <xf numFmtId="0" fontId="131" fillId="0" borderId="0" xfId="76" applyFont="1" applyAlignment="1">
      <alignment horizontal="center" vertical="center"/>
    </xf>
    <xf numFmtId="0" fontId="132" fillId="0" borderId="0" xfId="76" applyFont="1" applyAlignment="1">
      <alignment horizontal="center" vertical="center"/>
    </xf>
    <xf numFmtId="0" fontId="130" fillId="0" borderId="35" xfId="76" applyFont="1" applyBorder="1" applyAlignment="1" applyProtection="1">
      <alignment horizontal="center" vertical="center" wrapText="1"/>
      <protection locked="0"/>
    </xf>
    <xf numFmtId="0" fontId="130" fillId="0" borderId="0" xfId="76" applyFont="1" applyAlignment="1">
      <alignment horizontal="center" vertical="center"/>
    </xf>
    <xf numFmtId="0" fontId="133" fillId="0" borderId="0" xfId="76" applyFont="1" applyAlignment="1">
      <alignment vertical="center" wrapText="1"/>
    </xf>
    <xf numFmtId="0" fontId="129" fillId="0" borderId="0" xfId="76" applyFont="1" applyAlignment="1">
      <alignment horizontal="center" vertical="center" wrapText="1"/>
    </xf>
    <xf numFmtId="0" fontId="4" fillId="0" borderId="0" xfId="76" applyFont="1" applyAlignment="1">
      <alignment horizontal="center" vertical="center"/>
    </xf>
    <xf numFmtId="0" fontId="26" fillId="0" borderId="0" xfId="76" applyFont="1" applyAlignment="1">
      <alignment vertical="center" wrapText="1"/>
    </xf>
    <xf numFmtId="0" fontId="138" fillId="0" borderId="0" xfId="76" applyFont="1" applyAlignment="1">
      <alignment vertical="center" wrapText="1"/>
    </xf>
    <xf numFmtId="0" fontId="15" fillId="0" borderId="0" xfId="76" applyFont="1" applyAlignment="1">
      <alignment horizontal="center" vertical="center" wrapText="1"/>
    </xf>
    <xf numFmtId="0" fontId="134" fillId="0" borderId="0" xfId="76" applyFont="1" applyAlignment="1">
      <alignment horizontal="center" vertical="center" wrapText="1"/>
    </xf>
    <xf numFmtId="0" fontId="135" fillId="0" borderId="0" xfId="76" applyFont="1" applyAlignment="1">
      <alignment horizontal="center" vertical="center" wrapText="1"/>
    </xf>
    <xf numFmtId="0" fontId="136" fillId="0" borderId="0" xfId="76" applyFont="1" applyAlignment="1">
      <alignment horizontal="center" vertical="center"/>
    </xf>
    <xf numFmtId="0" fontId="139" fillId="0" borderId="0" xfId="76" applyFont="1" applyAlignment="1">
      <alignment horizontal="center" vertical="center" wrapText="1"/>
    </xf>
    <xf numFmtId="0" fontId="128" fillId="0" borderId="0" xfId="76" applyFont="1" applyAlignment="1">
      <alignment horizontal="center" vertical="center" wrapText="1"/>
    </xf>
    <xf numFmtId="0" fontId="135" fillId="0" borderId="0" xfId="76" applyFont="1" applyAlignment="1">
      <alignment vertical="center"/>
    </xf>
    <xf numFmtId="0" fontId="130" fillId="0" borderId="0" xfId="76" applyFont="1" applyAlignment="1">
      <alignment vertical="center" wrapText="1"/>
    </xf>
    <xf numFmtId="0" fontId="135" fillId="0" borderId="0" xfId="76" applyFont="1" applyAlignment="1">
      <alignment horizontal="center" vertical="center"/>
    </xf>
    <xf numFmtId="0" fontId="135" fillId="0" borderId="0" xfId="76" applyFont="1"/>
    <xf numFmtId="0" fontId="130" fillId="0" borderId="0" xfId="76" applyFont="1"/>
    <xf numFmtId="14" fontId="128" fillId="0" borderId="0" xfId="76" applyNumberFormat="1" applyFont="1" applyAlignment="1">
      <alignment vertical="center"/>
    </xf>
    <xf numFmtId="0" fontId="124" fillId="0" borderId="0" xfId="70" applyFont="1" applyAlignment="1">
      <alignment horizontal="left" vertical="top"/>
    </xf>
    <xf numFmtId="0" fontId="3" fillId="0" borderId="0" xfId="70" applyFont="1"/>
    <xf numFmtId="0" fontId="3" fillId="0" borderId="0" xfId="70" applyFont="1" applyAlignment="1">
      <alignment horizontal="center" vertical="center"/>
    </xf>
    <xf numFmtId="0" fontId="20" fillId="0" borderId="0" xfId="70" applyFont="1"/>
    <xf numFmtId="2" fontId="3" fillId="0" borderId="35" xfId="60" applyNumberFormat="1" applyFont="1" applyBorder="1" applyAlignment="1"/>
    <xf numFmtId="0" fontId="3" fillId="0" borderId="41" xfId="0" applyFont="1" applyBorder="1" applyAlignment="1">
      <alignment horizontal="centerContinuous" vertical="center" wrapText="1"/>
    </xf>
    <xf numFmtId="3" fontId="15" fillId="0" borderId="156" xfId="0" applyNumberFormat="1" applyFont="1" applyBorder="1" applyProtection="1">
      <protection locked="0"/>
    </xf>
    <xf numFmtId="0" fontId="15" fillId="0" borderId="157" xfId="0" applyFont="1" applyBorder="1" applyAlignment="1" applyProtection="1">
      <alignment wrapText="1"/>
      <protection locked="0"/>
    </xf>
    <xf numFmtId="0" fontId="6" fillId="30" borderId="63" xfId="0" applyFont="1" applyFill="1" applyBorder="1" applyAlignment="1">
      <alignment horizontal="center" vertical="center" wrapText="1"/>
    </xf>
    <xf numFmtId="0" fontId="6" fillId="30" borderId="71" xfId="0" applyFont="1" applyFill="1" applyBorder="1" applyAlignment="1">
      <alignment horizontal="center" vertical="center" wrapText="1"/>
    </xf>
    <xf numFmtId="0" fontId="4" fillId="0" borderId="0" xfId="75" applyFont="1" applyAlignment="1">
      <alignment horizontal="center" vertical="center"/>
    </xf>
    <xf numFmtId="0" fontId="26" fillId="0" borderId="0" xfId="75" applyFont="1" applyAlignment="1">
      <alignment vertical="center" wrapText="1"/>
    </xf>
    <xf numFmtId="0" fontId="3" fillId="0" borderId="0" xfId="75" applyFont="1" applyAlignment="1">
      <alignment horizontal="center" vertical="center"/>
    </xf>
    <xf numFmtId="0" fontId="128" fillId="0" borderId="0" xfId="78" applyFont="1" applyAlignment="1">
      <alignment vertical="center"/>
    </xf>
    <xf numFmtId="0" fontId="128" fillId="0" borderId="0" xfId="75" applyFont="1" applyAlignment="1">
      <alignment vertical="center"/>
    </xf>
    <xf numFmtId="0" fontId="131" fillId="0" borderId="0" xfId="78" applyFont="1" applyAlignment="1">
      <alignment horizontal="center" vertical="center"/>
    </xf>
    <xf numFmtId="0" fontId="132" fillId="0" borderId="0" xfId="78" applyFont="1" applyAlignment="1">
      <alignment horizontal="center" vertical="center"/>
    </xf>
    <xf numFmtId="3" fontId="130" fillId="0" borderId="35" xfId="78" applyNumberFormat="1" applyFont="1" applyBorder="1" applyAlignment="1" applyProtection="1">
      <alignment horizontal="center" vertical="center" wrapText="1"/>
      <protection locked="0"/>
    </xf>
    <xf numFmtId="0" fontId="13" fillId="0" borderId="65" xfId="0" applyFont="1" applyBorder="1" applyAlignment="1">
      <alignment horizontal="centerContinuous" vertical="center" wrapText="1"/>
    </xf>
    <xf numFmtId="0" fontId="13" fillId="0" borderId="85" xfId="0" applyFont="1" applyBorder="1" applyAlignment="1">
      <alignment horizontal="centerContinuous" vertical="center"/>
    </xf>
    <xf numFmtId="0" fontId="13" fillId="0" borderId="65" xfId="0" applyFont="1" applyBorder="1" applyAlignment="1">
      <alignment horizontal="centerContinuous" vertical="center"/>
    </xf>
    <xf numFmtId="164" fontId="5" fillId="0" borderId="35" xfId="90" applyFont="1" applyBorder="1" applyAlignment="1">
      <alignment horizontal="center" vertical="center"/>
    </xf>
    <xf numFmtId="0" fontId="3" fillId="0" borderId="20" xfId="70" applyFont="1" applyBorder="1" applyAlignment="1">
      <alignment vertical="center" wrapText="1"/>
    </xf>
    <xf numFmtId="0" fontId="3" fillId="0" borderId="0" xfId="76" applyFont="1" applyAlignment="1">
      <alignment horizontal="center" vertical="center"/>
    </xf>
    <xf numFmtId="0" fontId="129" fillId="0" borderId="0" xfId="78" applyFont="1" applyAlignment="1">
      <alignment vertical="center" wrapText="1"/>
    </xf>
    <xf numFmtId="0" fontId="130" fillId="0" borderId="0" xfId="78" applyFont="1" applyAlignment="1">
      <alignment vertical="center"/>
    </xf>
    <xf numFmtId="0" fontId="134" fillId="0" borderId="0" xfId="78" applyFont="1" applyAlignment="1">
      <alignment horizontal="center" vertical="center" wrapText="1"/>
    </xf>
    <xf numFmtId="0" fontId="135" fillId="0" borderId="0" xfId="78" applyFont="1" applyAlignment="1">
      <alignment horizontal="center" vertical="center" wrapText="1"/>
    </xf>
    <xf numFmtId="0" fontId="15" fillId="0" borderId="0" xfId="85" applyFont="1" applyAlignment="1">
      <alignment vertical="center" wrapText="1"/>
    </xf>
    <xf numFmtId="0" fontId="15" fillId="0" borderId="0" xfId="78" applyFont="1" applyAlignment="1">
      <alignment vertical="center" wrapText="1"/>
    </xf>
    <xf numFmtId="0" fontId="134" fillId="0" borderId="0" xfId="78" applyFont="1" applyAlignment="1">
      <alignment vertical="center" wrapText="1"/>
    </xf>
    <xf numFmtId="0" fontId="3" fillId="32" borderId="148" xfId="0" applyFont="1" applyFill="1" applyBorder="1"/>
    <xf numFmtId="0" fontId="125" fillId="33" borderId="0" xfId="0" applyFont="1" applyFill="1" applyAlignment="1">
      <alignment horizontal="center" wrapText="1"/>
    </xf>
    <xf numFmtId="0" fontId="140" fillId="0" borderId="80" xfId="0" applyFont="1" applyBorder="1" applyAlignment="1">
      <alignment horizontal="center"/>
    </xf>
    <xf numFmtId="0" fontId="140" fillId="0" borderId="0" xfId="0" applyFont="1" applyAlignment="1">
      <alignment horizontal="center"/>
    </xf>
    <xf numFmtId="0" fontId="20" fillId="0" borderId="0" xfId="0" applyFont="1"/>
    <xf numFmtId="0" fontId="3" fillId="0" borderId="124" xfId="0" applyFont="1" applyBorder="1"/>
    <xf numFmtId="0" fontId="3" fillId="0" borderId="126" xfId="0" applyFont="1" applyBorder="1"/>
    <xf numFmtId="0" fontId="3" fillId="0" borderId="51" xfId="0" applyFont="1" applyBorder="1"/>
    <xf numFmtId="0" fontId="3" fillId="0" borderId="12" xfId="93" applyFont="1" applyBorder="1" applyAlignment="1">
      <alignment horizontal="center" vertical="center"/>
    </xf>
    <xf numFmtId="1" fontId="15" fillId="26" borderId="35" xfId="90" applyNumberFormat="1" applyFont="1" applyFill="1" applyBorder="1" applyAlignment="1" applyProtection="1">
      <alignment vertical="center"/>
      <protection locked="0"/>
    </xf>
    <xf numFmtId="0" fontId="141" fillId="0" borderId="0" xfId="78" applyFont="1" applyAlignment="1">
      <alignment vertical="center"/>
    </xf>
    <xf numFmtId="0" fontId="15" fillId="0" borderId="0" xfId="76" applyFont="1" applyAlignment="1">
      <alignment vertical="center" wrapText="1"/>
    </xf>
    <xf numFmtId="0" fontId="135" fillId="0" borderId="0" xfId="80" applyFont="1"/>
    <xf numFmtId="0" fontId="128" fillId="0" borderId="0" xfId="80" applyFont="1"/>
    <xf numFmtId="0" fontId="130" fillId="0" borderId="0" xfId="80" applyFont="1"/>
    <xf numFmtId="0" fontId="139" fillId="0" borderId="0" xfId="80" applyFont="1" applyAlignment="1">
      <alignment wrapText="1"/>
    </xf>
    <xf numFmtId="172" fontId="132" fillId="24" borderId="35" xfId="0" applyNumberFormat="1" applyFont="1" applyFill="1" applyBorder="1" applyAlignment="1">
      <alignment horizontal="center" vertical="center"/>
    </xf>
    <xf numFmtId="0" fontId="6" fillId="0" borderId="0" xfId="0" applyFont="1" applyAlignment="1">
      <alignment vertical="center"/>
    </xf>
    <xf numFmtId="0" fontId="132" fillId="0" borderId="0" xfId="0" applyFont="1" applyAlignment="1">
      <alignment vertical="center"/>
    </xf>
    <xf numFmtId="164" fontId="142" fillId="0" borderId="0" xfId="90" applyFont="1" applyAlignment="1">
      <alignment vertical="center"/>
    </xf>
    <xf numFmtId="164" fontId="142" fillId="0" borderId="0" xfId="90" applyFont="1" applyAlignment="1">
      <alignment horizontal="center" vertical="center"/>
    </xf>
    <xf numFmtId="0" fontId="3" fillId="0" borderId="0" xfId="85" applyFont="1" applyAlignment="1">
      <alignment horizontal="center" vertical="center"/>
    </xf>
    <xf numFmtId="0" fontId="26" fillId="0" borderId="0" xfId="85" applyFont="1" applyAlignment="1">
      <alignment vertical="center" wrapText="1"/>
    </xf>
    <xf numFmtId="0" fontId="6" fillId="0" borderId="123" xfId="0" applyFont="1" applyBorder="1" applyAlignment="1">
      <alignment horizontal="centerContinuous" vertical="center"/>
    </xf>
    <xf numFmtId="0" fontId="6" fillId="0" borderId="123" xfId="0" applyFont="1" applyBorder="1" applyAlignment="1">
      <alignment horizontal="centerContinuous" vertical="center" wrapText="1"/>
    </xf>
    <xf numFmtId="0" fontId="6" fillId="0" borderId="123" xfId="0" applyFont="1" applyBorder="1" applyAlignment="1">
      <alignment horizontal="center" vertical="center" wrapText="1"/>
    </xf>
    <xf numFmtId="0" fontId="2" fillId="0" borderId="123" xfId="0" applyFont="1" applyBorder="1" applyAlignment="1">
      <alignment horizontal="centerContinuous" vertical="center"/>
    </xf>
    <xf numFmtId="0" fontId="2" fillId="0" borderId="123" xfId="0" applyFont="1" applyBorder="1" applyAlignment="1">
      <alignment horizontal="centerContinuous" vertical="center" wrapText="1"/>
    </xf>
    <xf numFmtId="172" fontId="127" fillId="24" borderId="35" xfId="0" applyNumberFormat="1" applyFont="1" applyFill="1" applyBorder="1" applyAlignment="1">
      <alignment horizontal="center" vertical="center"/>
    </xf>
    <xf numFmtId="172" fontId="132" fillId="24" borderId="51" xfId="0" applyNumberFormat="1" applyFont="1" applyFill="1" applyBorder="1" applyAlignment="1">
      <alignment horizontal="center" vertical="center"/>
    </xf>
    <xf numFmtId="0" fontId="127" fillId="0" borderId="123" xfId="0" applyFont="1" applyBorder="1" applyAlignment="1">
      <alignment horizontal="centerContinuous" vertical="center" wrapText="1"/>
    </xf>
    <xf numFmtId="0" fontId="127" fillId="0" borderId="123" xfId="0" applyFont="1" applyBorder="1" applyAlignment="1">
      <alignment horizontal="center" vertical="center" wrapText="1"/>
    </xf>
    <xf numFmtId="0" fontId="3" fillId="0" borderId="108" xfId="0" applyFont="1" applyBorder="1" applyAlignment="1">
      <alignment horizontal="centerContinuous"/>
    </xf>
    <xf numFmtId="0" fontId="143" fillId="0" borderId="159" xfId="75" applyFont="1" applyBorder="1" applyAlignment="1">
      <alignment wrapText="1"/>
    </xf>
    <xf numFmtId="0" fontId="137" fillId="0" borderId="0" xfId="85" applyFont="1" applyAlignment="1">
      <alignment vertical="center"/>
    </xf>
    <xf numFmtId="0" fontId="137" fillId="0" borderId="0" xfId="78" applyFont="1" applyAlignment="1">
      <alignment vertical="center"/>
    </xf>
    <xf numFmtId="0" fontId="137" fillId="0" borderId="0" xfId="76" applyFont="1" applyAlignment="1">
      <alignment vertical="center"/>
    </xf>
    <xf numFmtId="0" fontId="6" fillId="0" borderId="87" xfId="0" applyFont="1" applyBorder="1" applyAlignment="1">
      <alignment vertical="center"/>
    </xf>
    <xf numFmtId="0" fontId="144" fillId="34" borderId="0" xfId="0" applyFont="1" applyFill="1" applyAlignment="1">
      <alignment horizontal="center" vertical="center" wrapText="1"/>
    </xf>
    <xf numFmtId="0" fontId="125" fillId="34" borderId="0" xfId="0" applyFont="1" applyFill="1"/>
    <xf numFmtId="0" fontId="125" fillId="34" borderId="0" xfId="0" applyFont="1" applyFill="1" applyAlignment="1">
      <alignment horizontal="center" vertical="center"/>
    </xf>
    <xf numFmtId="0" fontId="11" fillId="0" borderId="0" xfId="0" applyFont="1" applyAlignment="1">
      <alignment vertical="center"/>
    </xf>
    <xf numFmtId="0" fontId="3" fillId="0" borderId="63" xfId="0" applyFont="1" applyBorder="1" applyAlignment="1">
      <alignment vertical="center"/>
    </xf>
    <xf numFmtId="0" fontId="125" fillId="33" borderId="0" xfId="0" applyFont="1" applyFill="1"/>
    <xf numFmtId="0" fontId="145" fillId="0" borderId="0" xfId="76" applyFont="1" applyAlignment="1">
      <alignment vertical="center"/>
    </xf>
    <xf numFmtId="164" fontId="147" fillId="0" borderId="0" xfId="90" applyFont="1" applyAlignment="1">
      <alignment vertical="center"/>
    </xf>
    <xf numFmtId="0" fontId="3" fillId="0" borderId="49" xfId="70" applyFont="1" applyBorder="1" applyAlignment="1">
      <alignment horizontal="left"/>
    </xf>
    <xf numFmtId="0" fontId="52" fillId="33" borderId="26" xfId="0" applyFont="1" applyFill="1" applyBorder="1" applyAlignment="1">
      <alignment horizontal="center" vertical="center" wrapText="1"/>
    </xf>
    <xf numFmtId="0" fontId="18" fillId="33" borderId="26" xfId="0" applyFont="1" applyFill="1" applyBorder="1" applyAlignment="1">
      <alignment horizontal="center" vertical="center" wrapText="1"/>
    </xf>
    <xf numFmtId="0" fontId="52" fillId="33" borderId="121" xfId="0" applyFont="1" applyFill="1" applyBorder="1" applyAlignment="1">
      <alignment horizontal="center" vertical="center" wrapText="1"/>
    </xf>
    <xf numFmtId="0" fontId="58" fillId="33" borderId="31" xfId="0" applyFont="1" applyFill="1" applyBorder="1" applyAlignment="1">
      <alignment horizontal="center" vertical="center" wrapText="1"/>
    </xf>
    <xf numFmtId="0" fontId="58" fillId="33" borderId="122" xfId="0" applyFont="1" applyFill="1" applyBorder="1" applyAlignment="1">
      <alignment horizontal="center" vertical="center" wrapText="1"/>
    </xf>
    <xf numFmtId="0" fontId="19" fillId="24" borderId="63" xfId="0" applyFont="1" applyFill="1" applyBorder="1" applyAlignment="1">
      <alignment horizontal="left" wrapText="1"/>
    </xf>
    <xf numFmtId="164" fontId="138" fillId="0" borderId="0" xfId="90" applyFont="1" applyAlignment="1">
      <alignment vertical="center"/>
    </xf>
    <xf numFmtId="0" fontId="112" fillId="0" borderId="0" xfId="70" applyFont="1" applyAlignment="1">
      <alignment vertical="top"/>
    </xf>
    <xf numFmtId="0" fontId="112" fillId="0" borderId="0" xfId="70" applyFont="1" applyAlignment="1">
      <alignment vertical="top" wrapText="1"/>
    </xf>
    <xf numFmtId="167" fontId="3" fillId="0" borderId="0" xfId="70" applyNumberFormat="1" applyFont="1"/>
    <xf numFmtId="0" fontId="148" fillId="34" borderId="0" xfId="70" applyFont="1" applyFill="1" applyAlignment="1">
      <alignment horizontal="center" vertical="center"/>
    </xf>
    <xf numFmtId="0" fontId="3" fillId="0" borderId="0" xfId="70" applyFont="1" applyAlignment="1">
      <alignment horizontal="center"/>
    </xf>
    <xf numFmtId="0" fontId="3" fillId="0" borderId="0" xfId="70" applyFont="1" applyAlignment="1">
      <alignment vertical="center"/>
    </xf>
    <xf numFmtId="0" fontId="119" fillId="0" borderId="0" xfId="70" applyFont="1" applyAlignment="1">
      <alignment horizontal="centerContinuous" vertical="center"/>
    </xf>
    <xf numFmtId="0" fontId="0" fillId="0" borderId="0" xfId="0" applyAlignment="1">
      <alignment horizontal="centerContinuous" vertical="center"/>
    </xf>
    <xf numFmtId="0" fontId="26" fillId="0" borderId="0" xfId="70" applyFont="1" applyAlignment="1">
      <alignment horizontal="center" vertical="center"/>
    </xf>
    <xf numFmtId="0" fontId="5" fillId="0" borderId="124" xfId="70" applyFont="1" applyBorder="1" applyAlignment="1">
      <alignment horizontal="centerContinuous" vertical="center"/>
    </xf>
    <xf numFmtId="0" fontId="5" fillId="0" borderId="124" xfId="70" applyFont="1" applyBorder="1" applyAlignment="1">
      <alignment horizontal="centerContinuous" vertical="center" wrapText="1"/>
    </xf>
    <xf numFmtId="0" fontId="3" fillId="0" borderId="12" xfId="70" applyFont="1" applyBorder="1" applyAlignment="1">
      <alignment horizontal="centerContinuous"/>
    </xf>
    <xf numFmtId="0" fontId="3" fillId="27" borderId="159" xfId="70" applyFont="1" applyFill="1" applyBorder="1"/>
    <xf numFmtId="0" fontId="37" fillId="0" borderId="123" xfId="70" applyFont="1" applyBorder="1" applyAlignment="1">
      <alignment horizontal="center" vertical="center"/>
    </xf>
    <xf numFmtId="0" fontId="113" fillId="0" borderId="0" xfId="70" applyFont="1" applyAlignment="1">
      <alignment vertical="center" wrapText="1"/>
    </xf>
    <xf numFmtId="0" fontId="66" fillId="0" borderId="0" xfId="70" applyFont="1" applyAlignment="1">
      <alignment vertical="center" wrapText="1"/>
    </xf>
    <xf numFmtId="0" fontId="3" fillId="0" borderId="49" xfId="70" applyFont="1" applyBorder="1" applyAlignment="1">
      <alignment horizontal="center"/>
    </xf>
    <xf numFmtId="0" fontId="11" fillId="0" borderId="35" xfId="70" applyFont="1" applyBorder="1" applyAlignment="1">
      <alignment horizontal="center"/>
    </xf>
    <xf numFmtId="0" fontId="3" fillId="0" borderId="35" xfId="70" applyFont="1" applyBorder="1" applyAlignment="1">
      <alignment horizontal="center"/>
    </xf>
    <xf numFmtId="0" fontId="25" fillId="27" borderId="159" xfId="70" applyFont="1" applyFill="1" applyBorder="1" applyAlignment="1">
      <alignment horizontal="center" vertical="center" wrapText="1"/>
    </xf>
    <xf numFmtId="0" fontId="11" fillId="0" borderId="63" xfId="70" applyFont="1" applyBorder="1" applyAlignment="1">
      <alignment horizontal="center"/>
    </xf>
    <xf numFmtId="0" fontId="3" fillId="0" borderId="72" xfId="70" applyFont="1" applyBorder="1" applyAlignment="1">
      <alignment horizontal="center"/>
    </xf>
    <xf numFmtId="0" fontId="2" fillId="0" borderId="160" xfId="70" applyFont="1" applyBorder="1"/>
    <xf numFmtId="0" fontId="2" fillId="0" borderId="139" xfId="70" applyFont="1" applyBorder="1"/>
    <xf numFmtId="0" fontId="2" fillId="0" borderId="155" xfId="70" applyFont="1" applyBorder="1"/>
    <xf numFmtId="0" fontId="26" fillId="27" borderId="159" xfId="70" applyFont="1" applyFill="1" applyBorder="1" applyAlignment="1">
      <alignment horizontal="center" vertical="center" wrapText="1"/>
    </xf>
    <xf numFmtId="0" fontId="26" fillId="0" borderId="0" xfId="70" applyFont="1" applyAlignment="1">
      <alignment horizontal="centerContinuous" vertical="center"/>
    </xf>
    <xf numFmtId="0" fontId="3" fillId="0" borderId="0" xfId="70" applyFont="1" applyAlignment="1">
      <alignment horizontal="centerContinuous" vertical="center"/>
    </xf>
    <xf numFmtId="0" fontId="98" fillId="0" borderId="38" xfId="70" applyFont="1" applyBorder="1" applyAlignment="1">
      <alignment horizontal="left" vertical="top" wrapText="1"/>
    </xf>
    <xf numFmtId="0" fontId="5" fillId="0" borderId="80" xfId="70" applyFont="1" applyBorder="1"/>
    <xf numFmtId="0" fontId="5" fillId="0" borderId="70" xfId="70" applyFont="1" applyBorder="1"/>
    <xf numFmtId="0" fontId="15" fillId="27" borderId="159" xfId="70" applyFont="1" applyFill="1" applyBorder="1" applyAlignment="1">
      <alignment horizontal="center" vertical="center" wrapText="1"/>
    </xf>
    <xf numFmtId="0" fontId="98" fillId="0" borderId="38" xfId="70" applyFont="1" applyBorder="1" applyAlignment="1">
      <alignment horizontal="left" vertical="top"/>
    </xf>
    <xf numFmtId="0" fontId="98" fillId="0" borderId="80" xfId="70" applyFont="1" applyBorder="1" applyAlignment="1">
      <alignment horizontal="left" vertical="top"/>
    </xf>
    <xf numFmtId="0" fontId="98" fillId="0" borderId="70" xfId="70" applyFont="1" applyBorder="1" applyAlignment="1">
      <alignment horizontal="left" vertical="top"/>
    </xf>
    <xf numFmtId="3" fontId="3" fillId="0" borderId="72" xfId="70" applyNumberFormat="1" applyFont="1" applyBorder="1" applyProtection="1">
      <protection locked="0"/>
    </xf>
    <xf numFmtId="3" fontId="3" fillId="0" borderId="0" xfId="70" applyNumberFormat="1" applyFont="1" applyAlignment="1">
      <alignment horizontal="center" vertical="center"/>
    </xf>
    <xf numFmtId="0" fontId="3" fillId="0" borderId="49" xfId="85" applyFont="1" applyBorder="1" applyAlignment="1">
      <alignment horizontal="left"/>
    </xf>
    <xf numFmtId="0" fontId="3" fillId="0" borderId="35" xfId="85" applyFont="1" applyBorder="1" applyAlignment="1">
      <alignment horizontal="center"/>
    </xf>
    <xf numFmtId="0" fontId="3" fillId="0" borderId="49" xfId="72" applyFont="1" applyBorder="1" applyAlignment="1">
      <alignment horizontal="left"/>
    </xf>
    <xf numFmtId="0" fontId="3" fillId="0" borderId="63" xfId="72" applyFont="1" applyBorder="1" applyAlignment="1">
      <alignment horizontal="center"/>
    </xf>
    <xf numFmtId="0" fontId="37" fillId="0" borderId="123" xfId="70" applyFont="1" applyBorder="1" applyAlignment="1">
      <alignment horizontal="center" vertical="center" wrapText="1"/>
    </xf>
    <xf numFmtId="0" fontId="113" fillId="0" borderId="0" xfId="85" applyFont="1" applyAlignment="1">
      <alignment vertical="center" wrapText="1"/>
    </xf>
    <xf numFmtId="0" fontId="3" fillId="34" borderId="0" xfId="70" applyFont="1" applyFill="1" applyAlignment="1">
      <alignment horizontal="center"/>
    </xf>
    <xf numFmtId="3" fontId="3" fillId="34" borderId="0" xfId="70" applyNumberFormat="1" applyFont="1" applyFill="1" applyAlignment="1">
      <alignment horizontal="center" vertical="center"/>
    </xf>
    <xf numFmtId="0" fontId="33" fillId="0" borderId="161" xfId="70" applyFont="1" applyBorder="1" applyAlignment="1">
      <alignment horizontal="left"/>
    </xf>
    <xf numFmtId="0" fontId="70" fillId="0" borderId="162" xfId="85" applyFont="1" applyBorder="1"/>
    <xf numFmtId="168" fontId="33" fillId="0" borderId="150" xfId="85" applyNumberFormat="1" applyFont="1" applyBorder="1" applyAlignment="1">
      <alignment vertical="center"/>
    </xf>
    <xf numFmtId="0" fontId="128" fillId="0" borderId="0" xfId="85" applyFont="1" applyAlignment="1">
      <alignment horizontal="center"/>
    </xf>
    <xf numFmtId="0" fontId="5" fillId="0" borderId="15" xfId="85" applyFont="1" applyBorder="1" applyAlignment="1">
      <alignment horizontal="right"/>
    </xf>
    <xf numFmtId="0" fontId="116" fillId="0" borderId="120" xfId="85" applyFont="1" applyBorder="1" applyAlignment="1">
      <alignment horizontal="center"/>
    </xf>
    <xf numFmtId="168" fontId="5" fillId="0" borderId="76" xfId="85" applyNumberFormat="1" applyFont="1" applyBorder="1" applyAlignment="1">
      <alignment vertical="center"/>
    </xf>
    <xf numFmtId="0" fontId="2" fillId="0" borderId="159" xfId="70" applyFont="1" applyBorder="1" applyAlignment="1">
      <alignment horizontal="center" vertical="center" wrapText="1"/>
    </xf>
    <xf numFmtId="0" fontId="128" fillId="27" borderId="20" xfId="85" applyFont="1" applyFill="1" applyBorder="1"/>
    <xf numFmtId="0" fontId="128" fillId="27" borderId="0" xfId="85" applyFont="1" applyFill="1"/>
    <xf numFmtId="3" fontId="128" fillId="27" borderId="40" xfId="85" applyNumberFormat="1" applyFont="1" applyFill="1" applyBorder="1"/>
    <xf numFmtId="0" fontId="3" fillId="0" borderId="0" xfId="72" applyFont="1" applyAlignment="1">
      <alignment horizontal="center"/>
    </xf>
    <xf numFmtId="0" fontId="3" fillId="0" borderId="63" xfId="70" applyFont="1" applyBorder="1" applyAlignment="1">
      <alignment horizontal="center"/>
    </xf>
    <xf numFmtId="0" fontId="6" fillId="27" borderId="20" xfId="85" applyFont="1" applyFill="1" applyBorder="1" applyAlignment="1">
      <alignment horizontal="center"/>
    </xf>
    <xf numFmtId="0" fontId="143" fillId="0" borderId="159" xfId="75" applyFont="1" applyBorder="1" applyAlignment="1">
      <alignment horizontal="center"/>
    </xf>
    <xf numFmtId="0" fontId="113" fillId="0" borderId="0" xfId="85" applyFont="1" applyAlignment="1">
      <alignment horizontal="center" vertical="center" wrapText="1"/>
    </xf>
    <xf numFmtId="0" fontId="33" fillId="0" borderId="161" xfId="85" applyFont="1" applyBorder="1" applyAlignment="1">
      <alignment horizontal="right"/>
    </xf>
    <xf numFmtId="0" fontId="66" fillId="0" borderId="0" xfId="85" applyFont="1" applyAlignment="1">
      <alignment horizontal="center" vertical="center" wrapText="1"/>
    </xf>
    <xf numFmtId="0" fontId="98" fillId="0" borderId="45" xfId="85" applyFont="1" applyBorder="1"/>
    <xf numFmtId="0" fontId="98" fillId="0" borderId="12" xfId="85" applyFont="1" applyBorder="1"/>
    <xf numFmtId="0" fontId="98" fillId="0" borderId="29" xfId="85" applyFont="1" applyBorder="1"/>
    <xf numFmtId="0" fontId="149" fillId="0" borderId="163" xfId="85" applyFont="1" applyBorder="1" applyAlignment="1">
      <alignment horizontal="center" vertical="center" wrapText="1"/>
    </xf>
    <xf numFmtId="0" fontId="37" fillId="0" borderId="0" xfId="85" applyFont="1" applyAlignment="1">
      <alignment horizontal="center" vertical="center" wrapText="1"/>
    </xf>
    <xf numFmtId="0" fontId="3" fillId="0" borderId="49" xfId="70" applyFont="1" applyBorder="1" applyAlignment="1">
      <alignment horizontal="left" wrapText="1"/>
    </xf>
    <xf numFmtId="0" fontId="113" fillId="0" borderId="20" xfId="85" applyFont="1" applyBorder="1" applyAlignment="1">
      <alignment horizontal="center" vertical="center" wrapText="1"/>
    </xf>
    <xf numFmtId="0" fontId="3" fillId="34" borderId="0" xfId="72" applyFont="1" applyFill="1" applyAlignment="1">
      <alignment horizontal="center"/>
    </xf>
    <xf numFmtId="0" fontId="33" fillId="0" borderId="39" xfId="85" applyFont="1" applyBorder="1" applyAlignment="1">
      <alignment horizontal="right"/>
    </xf>
    <xf numFmtId="0" fontId="70" fillId="0" borderId="59" xfId="85" applyFont="1" applyBorder="1"/>
    <xf numFmtId="168" fontId="33" fillId="0" borderId="72" xfId="85" applyNumberFormat="1" applyFont="1" applyBorder="1" applyAlignment="1">
      <alignment vertical="center"/>
    </xf>
    <xf numFmtId="0" fontId="98" fillId="0" borderId="38" xfId="70" applyFont="1" applyBorder="1" applyAlignment="1">
      <alignment horizontal="left"/>
    </xf>
    <xf numFmtId="0" fontId="98" fillId="0" borderId="80" xfId="70" applyFont="1" applyBorder="1"/>
    <xf numFmtId="3" fontId="3" fillId="0" borderId="97" xfId="70" applyNumberFormat="1" applyFont="1" applyBorder="1"/>
    <xf numFmtId="0" fontId="3" fillId="27" borderId="20" xfId="85" applyFont="1" applyFill="1" applyBorder="1" applyAlignment="1">
      <alignment horizontal="left"/>
    </xf>
    <xf numFmtId="0" fontId="11" fillId="27" borderId="0" xfId="85" applyFont="1" applyFill="1" applyAlignment="1">
      <alignment horizontal="center"/>
    </xf>
    <xf numFmtId="0" fontId="3" fillId="0" borderId="0" xfId="85" applyFont="1" applyAlignment="1">
      <alignment horizontal="center"/>
    </xf>
    <xf numFmtId="0" fontId="3" fillId="0" borderId="35" xfId="76" applyFont="1" applyBorder="1" applyAlignment="1">
      <alignment horizontal="center"/>
    </xf>
    <xf numFmtId="0" fontId="3" fillId="34" borderId="0" xfId="85" applyFont="1" applyFill="1" applyAlignment="1">
      <alignment horizontal="center"/>
    </xf>
    <xf numFmtId="168" fontId="5" fillId="0" borderId="164" xfId="85" applyNumberFormat="1" applyFont="1" applyBorder="1" applyAlignment="1">
      <alignment vertical="center"/>
    </xf>
    <xf numFmtId="0" fontId="5" fillId="0" borderId="138" xfId="85" applyFont="1" applyBorder="1"/>
    <xf numFmtId="0" fontId="3" fillId="27" borderId="15" xfId="85" applyFont="1" applyFill="1" applyBorder="1" applyAlignment="1">
      <alignment horizontal="left"/>
    </xf>
    <xf numFmtId="0" fontId="11" fillId="27" borderId="120" xfId="85" applyFont="1" applyFill="1" applyBorder="1" applyAlignment="1">
      <alignment horizontal="center"/>
    </xf>
    <xf numFmtId="3" fontId="128" fillId="27" borderId="157" xfId="85" applyNumberFormat="1" applyFont="1" applyFill="1" applyBorder="1"/>
    <xf numFmtId="0" fontId="15" fillId="0" borderId="0" xfId="70" applyFont="1"/>
    <xf numFmtId="0" fontId="15" fillId="0" borderId="0" xfId="70" applyFont="1" applyAlignment="1">
      <alignment horizontal="center"/>
    </xf>
    <xf numFmtId="0" fontId="5" fillId="0" borderId="15" xfId="70" applyFont="1" applyBorder="1" applyAlignment="1">
      <alignment horizontal="center" vertical="center"/>
    </xf>
    <xf numFmtId="0" fontId="5" fillId="0" borderId="165" xfId="85" applyFont="1" applyBorder="1"/>
    <xf numFmtId="0" fontId="5" fillId="0" borderId="166" xfId="70" applyFont="1" applyBorder="1" applyAlignment="1">
      <alignment horizontal="center" vertical="center"/>
    </xf>
    <xf numFmtId="3" fontId="15" fillId="0" borderId="0" xfId="70" applyNumberFormat="1" applyFont="1" applyAlignment="1">
      <alignment horizontal="center" vertical="center"/>
    </xf>
    <xf numFmtId="0" fontId="26" fillId="0" borderId="0" xfId="85" applyFont="1"/>
    <xf numFmtId="0" fontId="33" fillId="0" borderId="162" xfId="70" applyFont="1" applyBorder="1"/>
    <xf numFmtId="168" fontId="33" fillId="0" borderId="150" xfId="70" applyNumberFormat="1" applyFont="1" applyBorder="1" applyAlignment="1">
      <alignment vertical="center"/>
    </xf>
    <xf numFmtId="0" fontId="5" fillId="0" borderId="15" xfId="70" applyFont="1" applyBorder="1" applyAlignment="1">
      <alignment horizontal="right"/>
    </xf>
    <xf numFmtId="0" fontId="5" fillId="0" borderId="138" xfId="70" applyFont="1" applyBorder="1"/>
    <xf numFmtId="168" fontId="5" fillId="0" borderId="76" xfId="70" applyNumberFormat="1" applyFont="1" applyBorder="1" applyAlignment="1">
      <alignment vertical="center"/>
    </xf>
    <xf numFmtId="0" fontId="3" fillId="27" borderId="20" xfId="70" applyFont="1" applyFill="1" applyBorder="1"/>
    <xf numFmtId="0" fontId="3" fillId="27" borderId="20" xfId="70" applyFont="1" applyFill="1" applyBorder="1" applyAlignment="1">
      <alignment horizontal="left"/>
    </xf>
    <xf numFmtId="0" fontId="11" fillId="27" borderId="0" xfId="70" applyFont="1" applyFill="1" applyAlignment="1">
      <alignment horizontal="center"/>
    </xf>
    <xf numFmtId="3" fontId="3" fillId="27" borderId="40" xfId="70" applyNumberFormat="1" applyFont="1" applyFill="1" applyBorder="1"/>
    <xf numFmtId="0" fontId="3" fillId="27" borderId="0" xfId="70" applyFont="1" applyFill="1"/>
    <xf numFmtId="0" fontId="6" fillId="27" borderId="20" xfId="70" applyFont="1" applyFill="1" applyBorder="1" applyAlignment="1">
      <alignment horizontal="center"/>
    </xf>
    <xf numFmtId="0" fontId="33" fillId="0" borderId="161" xfId="70" applyFont="1" applyBorder="1" applyAlignment="1">
      <alignment horizontal="right"/>
    </xf>
    <xf numFmtId="0" fontId="98" fillId="0" borderId="45" xfId="70" applyFont="1" applyBorder="1"/>
    <xf numFmtId="0" fontId="98" fillId="0" borderId="12" xfId="70" applyFont="1" applyBorder="1"/>
    <xf numFmtId="0" fontId="98" fillId="0" borderId="29" xfId="70" applyFont="1" applyBorder="1"/>
    <xf numFmtId="0" fontId="143" fillId="0" borderId="163" xfId="70" applyFont="1" applyBorder="1"/>
    <xf numFmtId="0" fontId="98" fillId="0" borderId="45" xfId="70" applyFont="1" applyBorder="1" applyAlignment="1">
      <alignment horizontal="left"/>
    </xf>
    <xf numFmtId="168" fontId="98" fillId="0" borderId="29" xfId="70" applyNumberFormat="1" applyFont="1" applyBorder="1" applyAlignment="1">
      <alignment vertical="center"/>
    </xf>
    <xf numFmtId="0" fontId="33" fillId="0" borderId="160" xfId="70" applyFont="1" applyBorder="1" applyAlignment="1">
      <alignment horizontal="right"/>
    </xf>
    <xf numFmtId="0" fontId="33" fillId="0" borderId="91" xfId="70" applyFont="1" applyBorder="1"/>
    <xf numFmtId="168" fontId="33" fillId="0" borderId="111" xfId="70" applyNumberFormat="1" applyFont="1" applyBorder="1" applyAlignment="1">
      <alignment vertical="center"/>
    </xf>
    <xf numFmtId="0" fontId="5" fillId="0" borderId="166" xfId="70" applyFont="1" applyBorder="1" applyAlignment="1">
      <alignment horizontal="right"/>
    </xf>
    <xf numFmtId="0" fontId="5" fillId="0" borderId="165" xfId="70" applyFont="1" applyBorder="1"/>
    <xf numFmtId="0" fontId="3" fillId="27" borderId="15" xfId="70" applyFont="1" applyFill="1" applyBorder="1" applyAlignment="1">
      <alignment horizontal="left"/>
    </xf>
    <xf numFmtId="0" fontId="11" fillId="27" borderId="120" xfId="70" applyFont="1" applyFill="1" applyBorder="1" applyAlignment="1">
      <alignment horizontal="center"/>
    </xf>
    <xf numFmtId="3" fontId="3" fillId="27" borderId="157" xfId="70" applyNumberFormat="1" applyFont="1" applyFill="1" applyBorder="1"/>
    <xf numFmtId="0" fontId="28" fillId="0" borderId="166" xfId="70" applyFont="1" applyBorder="1" applyAlignment="1">
      <alignment horizontal="right"/>
    </xf>
    <xf numFmtId="168" fontId="5" fillId="0" borderId="152" xfId="70" applyNumberFormat="1" applyFont="1" applyBorder="1" applyAlignment="1">
      <alignment vertical="center"/>
    </xf>
    <xf numFmtId="0" fontId="3" fillId="27" borderId="10" xfId="70" applyFont="1" applyFill="1" applyBorder="1"/>
    <xf numFmtId="0" fontId="3" fillId="27" borderId="92" xfId="70" applyFont="1" applyFill="1" applyBorder="1"/>
    <xf numFmtId="0" fontId="3" fillId="27" borderId="78" xfId="70" applyFont="1" applyFill="1" applyBorder="1"/>
    <xf numFmtId="0" fontId="3" fillId="27" borderId="40" xfId="70" applyFont="1" applyFill="1" applyBorder="1"/>
    <xf numFmtId="0" fontId="66" fillId="0" borderId="0" xfId="70" applyFont="1" applyAlignment="1">
      <alignment horizontal="center" vertical="center" wrapText="1"/>
    </xf>
    <xf numFmtId="0" fontId="98" fillId="0" borderId="45" xfId="70" applyFont="1" applyBorder="1" applyAlignment="1">
      <alignment vertical="top"/>
    </xf>
    <xf numFmtId="0" fontId="98" fillId="0" borderId="12" xfId="70" applyFont="1" applyBorder="1" applyAlignment="1">
      <alignment vertical="top"/>
    </xf>
    <xf numFmtId="0" fontId="98" fillId="0" borderId="29" xfId="70" applyFont="1" applyBorder="1" applyAlignment="1">
      <alignment vertical="top"/>
    </xf>
    <xf numFmtId="0" fontId="149" fillId="0" borderId="163" xfId="70" applyFont="1" applyBorder="1" applyAlignment="1">
      <alignment horizontal="center" vertical="center" wrapText="1"/>
    </xf>
    <xf numFmtId="0" fontId="37" fillId="0" borderId="0" xfId="70" applyFont="1" applyAlignment="1">
      <alignment horizontal="center" vertical="center" wrapText="1"/>
    </xf>
    <xf numFmtId="0" fontId="113" fillId="0" borderId="0" xfId="70" applyFont="1" applyAlignment="1">
      <alignment horizontal="center" vertical="center" wrapText="1"/>
    </xf>
    <xf numFmtId="0" fontId="5" fillId="0" borderId="0" xfId="70" applyFont="1" applyAlignment="1">
      <alignment horizontal="center"/>
    </xf>
    <xf numFmtId="168" fontId="98" fillId="0" borderId="29" xfId="70" applyNumberFormat="1" applyFont="1" applyBorder="1" applyAlignment="1">
      <alignment vertical="top"/>
    </xf>
    <xf numFmtId="0" fontId="98" fillId="0" borderId="0" xfId="70" applyFont="1" applyAlignment="1">
      <alignment horizontal="right"/>
    </xf>
    <xf numFmtId="0" fontId="5" fillId="0" borderId="0" xfId="70" applyFont="1"/>
    <xf numFmtId="168" fontId="6" fillId="0" borderId="0" xfId="70" applyNumberFormat="1" applyFont="1" applyAlignment="1">
      <alignment vertical="center"/>
    </xf>
    <xf numFmtId="0" fontId="5" fillId="0" borderId="165" xfId="70" applyFont="1" applyBorder="1" applyAlignment="1">
      <alignment horizontal="right"/>
    </xf>
    <xf numFmtId="168" fontId="5" fillId="0" borderId="76" xfId="70" applyNumberFormat="1" applyFont="1" applyBorder="1" applyAlignment="1">
      <alignment horizontal="right" vertical="center"/>
    </xf>
    <xf numFmtId="0" fontId="5" fillId="27" borderId="159" xfId="70" applyFont="1" applyFill="1" applyBorder="1"/>
    <xf numFmtId="0" fontId="5" fillId="27" borderId="15" xfId="70" applyFont="1" applyFill="1" applyBorder="1" applyAlignment="1">
      <alignment horizontal="right"/>
    </xf>
    <xf numFmtId="0" fontId="3" fillId="27" borderId="120" xfId="70" applyFont="1" applyFill="1" applyBorder="1"/>
    <xf numFmtId="168" fontId="5" fillId="0" borderId="164" xfId="70" applyNumberFormat="1" applyFont="1" applyBorder="1" applyAlignment="1">
      <alignment vertical="center"/>
    </xf>
    <xf numFmtId="0" fontId="5" fillId="0" borderId="167" xfId="70" applyFont="1" applyBorder="1"/>
    <xf numFmtId="168" fontId="5" fillId="0" borderId="123" xfId="70" applyNumberFormat="1" applyFont="1" applyBorder="1" applyAlignment="1">
      <alignment vertical="center"/>
    </xf>
    <xf numFmtId="0" fontId="28" fillId="0" borderId="15" xfId="70" applyFont="1" applyBorder="1" applyAlignment="1">
      <alignment horizontal="right"/>
    </xf>
    <xf numFmtId="0" fontId="28" fillId="0" borderId="138" xfId="70" applyFont="1" applyBorder="1"/>
    <xf numFmtId="168" fontId="28" fillId="0" borderId="164" xfId="70" applyNumberFormat="1" applyFont="1" applyBorder="1" applyAlignment="1">
      <alignment vertical="center"/>
    </xf>
    <xf numFmtId="0" fontId="143" fillId="0" borderId="159" xfId="77" applyFont="1" applyBorder="1" applyAlignment="1">
      <alignment horizontal="center"/>
    </xf>
    <xf numFmtId="0" fontId="143" fillId="0" borderId="159" xfId="70" applyFont="1" applyBorder="1"/>
    <xf numFmtId="0" fontId="3" fillId="27" borderId="0" xfId="70" applyFont="1" applyFill="1" applyAlignment="1">
      <alignment horizontal="center"/>
    </xf>
    <xf numFmtId="0" fontId="28" fillId="0" borderId="161" xfId="70" applyFont="1" applyBorder="1" applyAlignment="1">
      <alignment horizontal="right"/>
    </xf>
    <xf numFmtId="0" fontId="28" fillId="0" borderId="162" xfId="70" applyFont="1" applyBorder="1"/>
    <xf numFmtId="168" fontId="28" fillId="0" borderId="150" xfId="70" applyNumberFormat="1" applyFont="1" applyBorder="1" applyAlignment="1">
      <alignment vertical="center"/>
    </xf>
    <xf numFmtId="0" fontId="15" fillId="27" borderId="159" xfId="70" applyFont="1" applyFill="1" applyBorder="1"/>
    <xf numFmtId="0" fontId="3" fillId="27" borderId="120" xfId="70" applyFont="1" applyFill="1" applyBorder="1" applyAlignment="1">
      <alignment horizontal="center"/>
    </xf>
    <xf numFmtId="0" fontId="3" fillId="0" borderId="92" xfId="70" applyFont="1" applyBorder="1"/>
    <xf numFmtId="0" fontId="3" fillId="0" borderId="29" xfId="70" applyFont="1" applyBorder="1" applyAlignment="1">
      <alignment horizontal="centerContinuous"/>
    </xf>
    <xf numFmtId="0" fontId="113" fillId="0" borderId="0" xfId="70" applyFont="1" applyAlignment="1">
      <alignment vertical="center"/>
    </xf>
    <xf numFmtId="0" fontId="26" fillId="27" borderId="40" xfId="70" applyFont="1" applyFill="1" applyBorder="1"/>
    <xf numFmtId="0" fontId="2" fillId="0" borderId="10" xfId="70" applyFont="1" applyBorder="1"/>
    <xf numFmtId="0" fontId="2" fillId="0" borderId="92" xfId="70" applyFont="1" applyBorder="1"/>
    <xf numFmtId="0" fontId="2" fillId="0" borderId="78" xfId="70" applyFont="1" applyBorder="1"/>
    <xf numFmtId="0" fontId="5" fillId="0" borderId="80" xfId="70" applyFont="1" applyBorder="1" applyAlignment="1">
      <alignment vertical="top"/>
    </xf>
    <xf numFmtId="0" fontId="5" fillId="0" borderId="70" xfId="70" applyFont="1" applyBorder="1" applyAlignment="1">
      <alignment vertical="top"/>
    </xf>
    <xf numFmtId="0" fontId="15" fillId="27" borderId="40" xfId="70" applyFont="1" applyFill="1" applyBorder="1" applyAlignment="1">
      <alignment vertical="top"/>
    </xf>
    <xf numFmtId="0" fontId="3" fillId="0" borderId="59" xfId="70" applyFont="1" applyBorder="1" applyAlignment="1">
      <alignment horizontal="center"/>
    </xf>
    <xf numFmtId="0" fontId="4" fillId="0" borderId="162" xfId="70" applyFont="1" applyBorder="1"/>
    <xf numFmtId="0" fontId="6" fillId="0" borderId="162" xfId="70" applyFont="1" applyBorder="1"/>
    <xf numFmtId="168" fontId="4" fillId="0" borderId="150" xfId="70" applyNumberFormat="1" applyFont="1" applyBorder="1" applyAlignment="1">
      <alignment vertical="center"/>
    </xf>
    <xf numFmtId="0" fontId="28" fillId="0" borderId="15" xfId="70" applyFont="1" applyBorder="1" applyAlignment="1">
      <alignment horizontal="center"/>
    </xf>
    <xf numFmtId="0" fontId="28" fillId="27" borderId="20" xfId="70" applyFont="1" applyFill="1" applyBorder="1" applyAlignment="1">
      <alignment horizontal="center"/>
    </xf>
    <xf numFmtId="0" fontId="28" fillId="27" borderId="0" xfId="70" applyFont="1" applyFill="1"/>
    <xf numFmtId="168" fontId="28" fillId="27" borderId="40" xfId="70" applyNumberFormat="1" applyFont="1" applyFill="1" applyBorder="1" applyAlignment="1">
      <alignment vertical="center"/>
    </xf>
    <xf numFmtId="0" fontId="2" fillId="0" borderId="20" xfId="0" applyFont="1" applyBorder="1" applyAlignment="1">
      <alignment horizontal="center" vertical="center"/>
    </xf>
    <xf numFmtId="0" fontId="113" fillId="0" borderId="20" xfId="70" applyFont="1" applyBorder="1" applyAlignment="1">
      <alignment vertical="center" wrapText="1"/>
    </xf>
    <xf numFmtId="0" fontId="3" fillId="0" borderId="0" xfId="70" applyFont="1" applyAlignment="1">
      <alignment vertical="center" wrapText="1"/>
    </xf>
    <xf numFmtId="0" fontId="28" fillId="0" borderId="162" xfId="70" applyFont="1" applyBorder="1" applyAlignment="1">
      <alignment horizontal="right"/>
    </xf>
    <xf numFmtId="168" fontId="28" fillId="0" borderId="150" xfId="70" applyNumberFormat="1" applyFont="1" applyBorder="1" applyAlignment="1">
      <alignment horizontal="right"/>
    </xf>
    <xf numFmtId="0" fontId="2" fillId="0" borderId="20" xfId="70" applyFont="1" applyBorder="1" applyAlignment="1">
      <alignment horizontal="left"/>
    </xf>
    <xf numFmtId="0" fontId="5" fillId="0" borderId="0" xfId="70" applyFont="1" applyAlignment="1">
      <alignment horizontal="right"/>
    </xf>
    <xf numFmtId="3" fontId="3" fillId="0" borderId="40" xfId="70" applyNumberFormat="1" applyFont="1" applyBorder="1"/>
    <xf numFmtId="0" fontId="2" fillId="0" borderId="10" xfId="70" applyFont="1" applyBorder="1" applyAlignment="1">
      <alignment horizontal="left"/>
    </xf>
    <xf numFmtId="168" fontId="2" fillId="0" borderId="78" xfId="70" applyNumberFormat="1" applyFont="1" applyBorder="1" applyAlignment="1">
      <alignment vertical="center"/>
    </xf>
    <xf numFmtId="0" fontId="98" fillId="0" borderId="20" xfId="70" applyFont="1" applyBorder="1" applyAlignment="1">
      <alignment wrapText="1"/>
    </xf>
    <xf numFmtId="0" fontId="5" fillId="27" borderId="40" xfId="70" applyFont="1" applyFill="1" applyBorder="1"/>
    <xf numFmtId="0" fontId="5" fillId="0" borderId="80" xfId="70" applyFont="1" applyBorder="1" applyAlignment="1">
      <alignment horizontal="left"/>
    </xf>
    <xf numFmtId="0" fontId="5" fillId="0" borderId="70" xfId="70" applyFont="1" applyBorder="1" applyAlignment="1">
      <alignment horizontal="left"/>
    </xf>
    <xf numFmtId="0" fontId="28" fillId="0" borderId="154" xfId="70" applyFont="1" applyBorder="1"/>
    <xf numFmtId="0" fontId="98" fillId="0" borderId="45" xfId="70" applyFont="1" applyBorder="1" applyAlignment="1">
      <alignment horizontal="left" vertical="top" wrapText="1"/>
    </xf>
    <xf numFmtId="0" fontId="5" fillId="0" borderId="12" xfId="70" applyFont="1" applyBorder="1"/>
    <xf numFmtId="0" fontId="5" fillId="0" borderId="29" xfId="70" applyFont="1" applyBorder="1"/>
    <xf numFmtId="0" fontId="28" fillId="0" borderId="165" xfId="70" applyFont="1" applyBorder="1"/>
    <xf numFmtId="168" fontId="28" fillId="0" borderId="108" xfId="70" applyNumberFormat="1" applyFont="1" applyBorder="1" applyAlignment="1">
      <alignment vertical="center"/>
    </xf>
    <xf numFmtId="0" fontId="4" fillId="0" borderId="91" xfId="70" applyFont="1" applyBorder="1"/>
    <xf numFmtId="168" fontId="28" fillId="0" borderId="111" xfId="70" applyNumberFormat="1" applyFont="1" applyBorder="1" applyAlignment="1">
      <alignment vertical="center"/>
    </xf>
    <xf numFmtId="0" fontId="5" fillId="0" borderId="165" xfId="70" applyFont="1" applyBorder="1" applyAlignment="1">
      <alignment horizontal="center" vertical="center"/>
    </xf>
    <xf numFmtId="164" fontId="41" fillId="25" borderId="139" xfId="91" applyNumberFormat="1" applyFill="1" applyBorder="1" applyAlignment="1">
      <alignment horizontal="right" vertical="top"/>
    </xf>
    <xf numFmtId="0" fontId="90" fillId="25" borderId="139" xfId="89" applyFont="1" applyFill="1" applyBorder="1" applyAlignment="1">
      <alignment vertical="top"/>
    </xf>
    <xf numFmtId="164" fontId="15" fillId="25" borderId="139" xfId="91" applyNumberFormat="1" applyFont="1" applyFill="1" applyBorder="1" applyAlignment="1">
      <alignment vertical="top"/>
    </xf>
    <xf numFmtId="167" fontId="142" fillId="0" borderId="0" xfId="91" applyNumberFormat="1" applyFont="1" applyAlignment="1">
      <alignment vertical="center" wrapText="1"/>
    </xf>
    <xf numFmtId="164" fontId="41" fillId="0" borderId="0" xfId="91" applyNumberFormat="1" applyAlignment="1">
      <alignment vertical="center"/>
    </xf>
    <xf numFmtId="0" fontId="90" fillId="25" borderId="0" xfId="89" applyFont="1" applyFill="1" applyAlignment="1">
      <alignment horizontal="centerContinuous" readingOrder="1"/>
    </xf>
    <xf numFmtId="164" fontId="15" fillId="25" borderId="0" xfId="91" applyNumberFormat="1" applyFont="1" applyFill="1" applyAlignment="1">
      <alignment horizontal="centerContinuous" vertical="center" readingOrder="1"/>
    </xf>
    <xf numFmtId="164" fontId="15" fillId="25" borderId="137" xfId="91" applyNumberFormat="1" applyFont="1" applyFill="1" applyBorder="1" applyAlignment="1">
      <alignment horizontal="centerContinuous" vertical="center" readingOrder="1"/>
    </xf>
    <xf numFmtId="0" fontId="90" fillId="25" borderId="0" xfId="89" applyFont="1" applyFill="1" applyAlignment="1">
      <alignment horizontal="centerContinuous"/>
    </xf>
    <xf numFmtId="164" fontId="15" fillId="25" borderId="0" xfId="91" applyNumberFormat="1" applyFont="1" applyFill="1" applyAlignment="1">
      <alignment horizontal="centerContinuous" vertical="center"/>
    </xf>
    <xf numFmtId="164" fontId="15" fillId="25" borderId="137" xfId="91" applyNumberFormat="1" applyFont="1" applyFill="1" applyBorder="1" applyAlignment="1">
      <alignment horizontal="centerContinuous" vertical="center"/>
    </xf>
    <xf numFmtId="164" fontId="41" fillId="0" borderId="0" xfId="91" applyNumberFormat="1" applyAlignment="1">
      <alignment vertical="top"/>
    </xf>
    <xf numFmtId="14" fontId="41" fillId="0" borderId="0" xfId="91" applyNumberFormat="1" applyAlignment="1">
      <alignment vertical="top"/>
    </xf>
    <xf numFmtId="164" fontId="41" fillId="25" borderId="58" xfId="91" applyNumberFormat="1" applyFill="1" applyBorder="1" applyAlignment="1">
      <alignment horizontal="right" vertical="top"/>
    </xf>
    <xf numFmtId="164" fontId="41" fillId="25" borderId="80" xfId="91" applyNumberFormat="1" applyFill="1" applyBorder="1" applyAlignment="1">
      <alignment horizontal="right" vertical="top"/>
    </xf>
    <xf numFmtId="0" fontId="90" fillId="25" borderId="80" xfId="89" applyFont="1" applyFill="1" applyBorder="1" applyAlignment="1">
      <alignment vertical="top"/>
    </xf>
    <xf numFmtId="164" fontId="15" fillId="25" borderId="80" xfId="91" applyNumberFormat="1" applyFont="1" applyFill="1" applyBorder="1" applyAlignment="1">
      <alignment vertical="top"/>
    </xf>
    <xf numFmtId="164" fontId="15" fillId="25" borderId="82" xfId="91" applyNumberFormat="1" applyFont="1" applyFill="1" applyBorder="1" applyAlignment="1">
      <alignment vertical="top"/>
    </xf>
    <xf numFmtId="164" fontId="37" fillId="0" borderId="148" xfId="91" applyNumberFormat="1" applyFont="1" applyBorder="1" applyAlignment="1">
      <alignment horizontal="center" vertical="center" wrapText="1"/>
    </xf>
    <xf numFmtId="164" fontId="42" fillId="0" borderId="0" xfId="91" applyNumberFormat="1" applyFont="1" applyAlignment="1">
      <alignment vertical="center"/>
    </xf>
    <xf numFmtId="164" fontId="57" fillId="0" borderId="0" xfId="91" applyNumberFormat="1" applyFont="1" applyAlignment="1">
      <alignment horizontal="centerContinuous" vertical="center"/>
    </xf>
    <xf numFmtId="164" fontId="42" fillId="0" borderId="0" xfId="91" applyNumberFormat="1" applyFont="1" applyAlignment="1">
      <alignment horizontal="centerContinuous" vertical="center"/>
    </xf>
    <xf numFmtId="164" fontId="43" fillId="0" borderId="0" xfId="91" applyNumberFormat="1" applyFont="1" applyAlignment="1">
      <alignment horizontal="centerContinuous" vertical="center"/>
    </xf>
    <xf numFmtId="164" fontId="53" fillId="0" borderId="0" xfId="91" applyNumberFormat="1" applyFont="1" applyAlignment="1">
      <alignment horizontal="right" vertical="center"/>
    </xf>
    <xf numFmtId="164" fontId="44" fillId="28" borderId="35" xfId="91" applyNumberFormat="1" applyFont="1" applyFill="1" applyBorder="1" applyAlignment="1">
      <alignment horizontal="center" vertical="center"/>
    </xf>
    <xf numFmtId="164" fontId="44" fillId="0" borderId="0" xfId="91" applyNumberFormat="1" applyFont="1" applyAlignment="1">
      <alignment horizontal="center" vertical="center"/>
    </xf>
    <xf numFmtId="164" fontId="42" fillId="0" borderId="0" xfId="91" applyNumberFormat="1" applyFont="1" applyAlignment="1">
      <alignment horizontal="center" vertical="center"/>
    </xf>
    <xf numFmtId="0" fontId="150" fillId="0" borderId="0" xfId="85" applyFont="1" applyAlignment="1">
      <alignment horizontal="center" vertical="center"/>
    </xf>
    <xf numFmtId="0" fontId="151" fillId="0" borderId="0" xfId="85" applyFont="1" applyAlignment="1">
      <alignment horizontal="center" vertical="center"/>
    </xf>
    <xf numFmtId="0" fontId="107" fillId="29" borderId="0" xfId="70" applyFont="1" applyFill="1" applyAlignment="1">
      <alignment horizontal="centerContinuous" vertical="center"/>
    </xf>
    <xf numFmtId="0" fontId="108" fillId="29" borderId="0" xfId="70" applyFont="1" applyFill="1" applyAlignment="1">
      <alignment horizontal="center" vertical="center"/>
    </xf>
    <xf numFmtId="0" fontId="109" fillId="29" borderId="0" xfId="70" applyFont="1" applyFill="1" applyAlignment="1">
      <alignment horizontal="centerContinuous" vertical="center"/>
    </xf>
    <xf numFmtId="0" fontId="137" fillId="0" borderId="0" xfId="85" applyFont="1" applyAlignment="1">
      <alignment vertical="center" wrapText="1"/>
    </xf>
    <xf numFmtId="0" fontId="128" fillId="0" borderId="0" xfId="78" applyFont="1" applyAlignment="1" applyProtection="1">
      <alignment horizontal="center" vertical="center"/>
      <protection hidden="1"/>
    </xf>
    <xf numFmtId="0" fontId="152" fillId="29" borderId="0" xfId="70" applyFont="1" applyFill="1" applyAlignment="1">
      <alignment horizontal="center" vertical="center"/>
    </xf>
    <xf numFmtId="0" fontId="128" fillId="0" borderId="0" xfId="78" applyFont="1" applyAlignment="1">
      <alignment horizontal="center" vertical="center"/>
    </xf>
    <xf numFmtId="3" fontId="130" fillId="0" borderId="35" xfId="76" applyNumberFormat="1" applyFont="1" applyBorder="1" applyAlignment="1" applyProtection="1">
      <alignment horizontal="center" vertical="center" wrapText="1"/>
      <protection locked="0"/>
    </xf>
    <xf numFmtId="0" fontId="3" fillId="0" borderId="0" xfId="75" applyFont="1" applyAlignment="1">
      <alignment horizontal="center" vertical="center" wrapText="1"/>
    </xf>
    <xf numFmtId="0" fontId="137" fillId="0" borderId="0" xfId="75" applyFont="1" applyAlignment="1">
      <alignment vertical="center"/>
    </xf>
    <xf numFmtId="0" fontId="15" fillId="0" borderId="0" xfId="75" applyFont="1" applyAlignment="1">
      <alignment vertical="center" wrapText="1"/>
    </xf>
    <xf numFmtId="0" fontId="129" fillId="0" borderId="0" xfId="75" applyFont="1" applyAlignment="1">
      <alignment vertical="center" wrapText="1"/>
    </xf>
    <xf numFmtId="0" fontId="130" fillId="0" borderId="0" xfId="75" applyFont="1" applyAlignment="1">
      <alignment horizontal="center" vertical="center"/>
    </xf>
    <xf numFmtId="0" fontId="128" fillId="0" borderId="0" xfId="75" applyFont="1" applyAlignment="1">
      <alignment horizontal="center" vertical="center"/>
    </xf>
    <xf numFmtId="0" fontId="135" fillId="0" borderId="0" xfId="75" applyFont="1" applyAlignment="1">
      <alignment horizontal="center" vertical="center" wrapText="1"/>
    </xf>
    <xf numFmtId="0" fontId="26" fillId="0" borderId="0" xfId="76" applyFont="1" applyAlignment="1">
      <alignment vertical="center"/>
    </xf>
    <xf numFmtId="3" fontId="9" fillId="0" borderId="35" xfId="76" applyNumberFormat="1" applyFont="1" applyBorder="1" applyAlignment="1" applyProtection="1">
      <alignment horizontal="center" vertical="center" wrapText="1"/>
      <protection locked="0"/>
    </xf>
    <xf numFmtId="3" fontId="130" fillId="0" borderId="35" xfId="85" applyNumberFormat="1" applyFont="1" applyBorder="1" applyAlignment="1" applyProtection="1">
      <alignment horizontal="center" vertical="center" wrapText="1"/>
      <protection locked="0"/>
    </xf>
    <xf numFmtId="0" fontId="132" fillId="0" borderId="0" xfId="76" applyFont="1" applyAlignment="1">
      <alignment horizontal="center" vertical="center" wrapText="1"/>
    </xf>
    <xf numFmtId="0" fontId="128" fillId="0" borderId="0" xfId="76" applyFont="1" applyAlignment="1">
      <alignment horizontal="center" vertical="center"/>
    </xf>
    <xf numFmtId="0" fontId="128" fillId="0" borderId="0" xfId="80" applyFont="1" applyAlignment="1">
      <alignment vertical="center" wrapText="1"/>
    </xf>
    <xf numFmtId="0" fontId="129" fillId="0" borderId="0" xfId="80" applyFont="1" applyAlignment="1">
      <alignment vertical="center" wrapText="1"/>
    </xf>
    <xf numFmtId="0" fontId="128" fillId="0" borderId="0" xfId="85" applyFont="1" applyAlignment="1">
      <alignment horizontal="center" vertical="center"/>
    </xf>
    <xf numFmtId="0" fontId="107" fillId="29" borderId="0" xfId="70" applyFont="1" applyFill="1" applyAlignment="1">
      <alignment horizontal="center" vertical="center"/>
    </xf>
    <xf numFmtId="0" fontId="109" fillId="29" borderId="0" xfId="70" applyFont="1" applyFill="1" applyAlignment="1">
      <alignment horizontal="center" vertical="center"/>
    </xf>
    <xf numFmtId="0" fontId="129" fillId="0" borderId="0" xfId="76" applyFont="1" applyAlignment="1">
      <alignment vertical="center"/>
    </xf>
    <xf numFmtId="167" fontId="41" fillId="0" borderId="0" xfId="91" applyNumberFormat="1" applyAlignment="1">
      <alignment vertical="center" wrapText="1"/>
    </xf>
    <xf numFmtId="0" fontId="128" fillId="0" borderId="0" xfId="75" applyFont="1" applyAlignment="1">
      <alignment vertical="center" wrapText="1"/>
    </xf>
    <xf numFmtId="164" fontId="42" fillId="0" borderId="0" xfId="91" applyNumberFormat="1" applyFont="1" applyAlignment="1">
      <alignment horizontal="right" vertical="center"/>
    </xf>
    <xf numFmtId="164" fontId="43" fillId="0" borderId="0" xfId="91" applyNumberFormat="1" applyFont="1" applyAlignment="1">
      <alignment vertical="center"/>
    </xf>
    <xf numFmtId="164" fontId="44" fillId="0" borderId="0" xfId="91" applyNumberFormat="1" applyFont="1" applyAlignment="1">
      <alignment horizontal="center" vertical="center" wrapText="1"/>
    </xf>
    <xf numFmtId="0" fontId="150" fillId="0" borderId="0" xfId="76" applyFont="1" applyAlignment="1">
      <alignment horizontal="center" vertical="center"/>
    </xf>
    <xf numFmtId="0" fontId="151" fillId="0" borderId="0" xfId="76" applyFont="1" applyAlignment="1">
      <alignment horizontal="center" vertical="center"/>
    </xf>
    <xf numFmtId="0" fontId="128" fillId="0" borderId="0" xfId="81" applyFont="1" applyAlignment="1">
      <alignment vertical="center" wrapText="1"/>
    </xf>
    <xf numFmtId="0" fontId="153" fillId="0" borderId="0" xfId="76" applyFont="1" applyAlignment="1">
      <alignment horizontal="center" vertical="center"/>
    </xf>
    <xf numFmtId="0" fontId="154" fillId="0" borderId="0" xfId="76" applyFont="1" applyAlignment="1">
      <alignment vertical="center"/>
    </xf>
    <xf numFmtId="3" fontId="130" fillId="0" borderId="35" xfId="75" applyNumberFormat="1" applyFont="1" applyBorder="1" applyAlignment="1" applyProtection="1">
      <alignment horizontal="center" vertical="center" wrapText="1"/>
      <protection locked="0"/>
    </xf>
    <xf numFmtId="0" fontId="155" fillId="0" borderId="0" xfId="76" applyFont="1" applyAlignment="1">
      <alignment vertical="center"/>
    </xf>
    <xf numFmtId="0" fontId="26" fillId="0" borderId="0" xfId="75" applyFont="1" applyAlignment="1">
      <alignment vertical="center"/>
    </xf>
    <xf numFmtId="3" fontId="9" fillId="0" borderId="35" xfId="75" applyNumberFormat="1" applyFont="1" applyBorder="1" applyAlignment="1" applyProtection="1">
      <alignment horizontal="center" vertical="center" wrapText="1"/>
      <protection locked="0"/>
    </xf>
    <xf numFmtId="0" fontId="148" fillId="0" borderId="0" xfId="76" applyFont="1" applyAlignment="1">
      <alignment vertical="center"/>
    </xf>
    <xf numFmtId="0" fontId="156" fillId="0" borderId="0" xfId="76" applyFont="1" applyAlignment="1">
      <alignment vertical="center" wrapText="1"/>
    </xf>
    <xf numFmtId="0" fontId="112" fillId="0" borderId="0" xfId="0" applyFont="1" applyAlignment="1">
      <alignment horizontal="left" vertical="top"/>
    </xf>
    <xf numFmtId="164" fontId="157" fillId="0" borderId="123" xfId="91" applyNumberFormat="1" applyFont="1" applyBorder="1" applyAlignment="1">
      <alignment horizontal="centerContinuous" vertical="center" wrapText="1"/>
    </xf>
    <xf numFmtId="0" fontId="3" fillId="0" borderId="58" xfId="0" applyFont="1" applyBorder="1" applyAlignment="1">
      <alignment horizontal="left" vertical="center"/>
    </xf>
    <xf numFmtId="0" fontId="132" fillId="0" borderId="82" xfId="0" applyFont="1" applyBorder="1" applyAlignment="1">
      <alignment horizontal="left" vertical="center"/>
    </xf>
    <xf numFmtId="172" fontId="132" fillId="0" borderId="51" xfId="0" applyNumberFormat="1" applyFont="1" applyBorder="1" applyAlignment="1">
      <alignment horizontal="center" vertical="center"/>
    </xf>
    <xf numFmtId="0" fontId="3" fillId="0" borderId="63" xfId="0" applyFont="1" applyBorder="1" applyAlignment="1">
      <alignment horizontal="left" vertical="center"/>
    </xf>
    <xf numFmtId="0" fontId="132" fillId="0" borderId="59" xfId="0" applyFont="1" applyBorder="1" applyAlignment="1">
      <alignment horizontal="left" vertical="center"/>
    </xf>
    <xf numFmtId="172" fontId="132" fillId="0" borderId="35" xfId="0" applyNumberFormat="1" applyFont="1" applyBorder="1" applyAlignment="1">
      <alignment horizontal="center" vertical="center"/>
    </xf>
    <xf numFmtId="0" fontId="6" fillId="0" borderId="63" xfId="0" applyFont="1" applyBorder="1" applyAlignment="1">
      <alignment horizontal="left" vertical="center"/>
    </xf>
    <xf numFmtId="0" fontId="127" fillId="0" borderId="80" xfId="0" applyFont="1" applyBorder="1" applyAlignment="1">
      <alignment horizontal="left" vertical="center"/>
    </xf>
    <xf numFmtId="172" fontId="127" fillId="0" borderId="58" xfId="0" applyNumberFormat="1" applyFont="1" applyBorder="1" applyAlignment="1">
      <alignment horizontal="center" vertical="center"/>
    </xf>
    <xf numFmtId="0" fontId="132" fillId="0" borderId="80" xfId="0" applyFont="1" applyBorder="1" applyAlignment="1">
      <alignment horizontal="left" vertical="center"/>
    </xf>
    <xf numFmtId="172" fontId="132" fillId="0" borderId="58" xfId="0" applyNumberFormat="1" applyFont="1" applyBorder="1" applyAlignment="1">
      <alignment horizontal="center" vertical="center"/>
    </xf>
    <xf numFmtId="0" fontId="132" fillId="0" borderId="87" xfId="0" applyFont="1" applyBorder="1" applyAlignment="1">
      <alignment horizontal="left" vertical="center"/>
    </xf>
    <xf numFmtId="172" fontId="10" fillId="0" borderId="35" xfId="0" applyNumberFormat="1" applyFont="1" applyBorder="1" applyAlignment="1">
      <alignment horizontal="center" vertical="center" wrapText="1"/>
    </xf>
    <xf numFmtId="0" fontId="23" fillId="0" borderId="0" xfId="0" applyFont="1" applyAlignment="1">
      <alignment vertical="top"/>
    </xf>
    <xf numFmtId="0" fontId="3" fillId="0" borderId="123" xfId="0" applyFont="1" applyBorder="1" applyAlignment="1">
      <alignment horizontal="center" vertical="center" wrapText="1"/>
    </xf>
    <xf numFmtId="0" fontId="3" fillId="0" borderId="82" xfId="0" applyFont="1" applyBorder="1" applyAlignment="1">
      <alignment horizontal="left" vertical="center"/>
    </xf>
    <xf numFmtId="172" fontId="4" fillId="0" borderId="51" xfId="0" applyNumberFormat="1" applyFont="1" applyBorder="1" applyAlignment="1">
      <alignment horizontal="center" vertical="center"/>
    </xf>
    <xf numFmtId="0" fontId="3" fillId="0" borderId="87" xfId="0" applyFont="1" applyBorder="1" applyAlignment="1">
      <alignment horizontal="left" vertical="center"/>
    </xf>
    <xf numFmtId="0" fontId="3" fillId="0" borderId="59" xfId="0" applyFont="1" applyBorder="1" applyAlignment="1">
      <alignment horizontal="left" vertical="center"/>
    </xf>
    <xf numFmtId="0" fontId="3" fillId="0" borderId="80" xfId="0" applyFont="1" applyBorder="1" applyAlignment="1">
      <alignment horizontal="left" vertical="center"/>
    </xf>
    <xf numFmtId="0" fontId="11" fillId="0" borderId="80" xfId="0" applyFont="1" applyBorder="1" applyAlignment="1">
      <alignment horizontal="left" vertical="center"/>
    </xf>
    <xf numFmtId="0" fontId="11" fillId="0" borderId="59" xfId="0" applyFont="1" applyBorder="1" applyAlignment="1">
      <alignment horizontal="left" vertical="center"/>
    </xf>
    <xf numFmtId="172" fontId="70" fillId="0" borderId="51" xfId="0" applyNumberFormat="1" applyFont="1" applyBorder="1" applyAlignment="1">
      <alignment horizontal="center" vertical="center"/>
    </xf>
    <xf numFmtId="173" fontId="4" fillId="0" borderId="51" xfId="0" applyNumberFormat="1" applyFont="1" applyBorder="1" applyAlignment="1">
      <alignment horizontal="center" vertical="center"/>
    </xf>
    <xf numFmtId="174" fontId="4" fillId="0" borderId="35" xfId="0" applyNumberFormat="1" applyFont="1" applyBorder="1" applyAlignment="1">
      <alignment horizontal="center" vertical="center"/>
    </xf>
    <xf numFmtId="174" fontId="4" fillId="1" borderId="56" xfId="0" applyNumberFormat="1" applyFont="1" applyFill="1" applyBorder="1" applyAlignment="1">
      <alignment horizontal="center" vertical="center"/>
    </xf>
    <xf numFmtId="0" fontId="125" fillId="0" borderId="0" xfId="0" applyFont="1"/>
    <xf numFmtId="174" fontId="4" fillId="1" borderId="57" xfId="0" applyNumberFormat="1" applyFont="1" applyFill="1" applyBorder="1" applyAlignment="1">
      <alignment horizontal="center" vertical="center"/>
    </xf>
    <xf numFmtId="174" fontId="4" fillId="1" borderId="51" xfId="0" applyNumberFormat="1" applyFont="1" applyFill="1" applyBorder="1" applyAlignment="1">
      <alignment horizontal="center" vertical="center"/>
    </xf>
    <xf numFmtId="0" fontId="6" fillId="0" borderId="58" xfId="0" applyFont="1" applyBorder="1" applyAlignment="1">
      <alignment horizontal="left" vertical="center"/>
    </xf>
    <xf numFmtId="0" fontId="6" fillId="0" borderId="82" xfId="0" applyFont="1" applyBorder="1" applyAlignment="1">
      <alignment horizontal="left" vertical="center"/>
    </xf>
    <xf numFmtId="172" fontId="28" fillId="0" borderId="51" xfId="0" applyNumberFormat="1" applyFont="1" applyBorder="1" applyAlignment="1">
      <alignment horizontal="center" vertical="center"/>
    </xf>
    <xf numFmtId="3" fontId="6" fillId="0" borderId="87" xfId="0" applyNumberFormat="1" applyFont="1" applyBorder="1" applyAlignment="1">
      <alignment horizontal="left" vertical="center"/>
    </xf>
    <xf numFmtId="0" fontId="6" fillId="0" borderId="59" xfId="0" applyFont="1" applyBorder="1" applyAlignment="1">
      <alignment horizontal="left" vertical="center"/>
    </xf>
    <xf numFmtId="172" fontId="28" fillId="0" borderId="35" xfId="0" applyNumberFormat="1" applyFont="1" applyBorder="1" applyAlignment="1">
      <alignment horizontal="center" vertical="center"/>
    </xf>
    <xf numFmtId="0" fontId="6" fillId="0" borderId="87" xfId="0" applyFont="1" applyBorder="1" applyAlignment="1">
      <alignment horizontal="left" vertical="center"/>
    </xf>
    <xf numFmtId="0" fontId="11" fillId="0" borderId="87" xfId="0" applyFont="1" applyBorder="1" applyAlignment="1">
      <alignment horizontal="centerContinuous" vertical="center"/>
    </xf>
    <xf numFmtId="172" fontId="4" fillId="0" borderId="87" xfId="0" applyNumberFormat="1" applyFont="1" applyBorder="1" applyAlignment="1">
      <alignment horizontal="centerContinuous" vertical="center"/>
    </xf>
    <xf numFmtId="172" fontId="4" fillId="0" borderId="59" xfId="0" applyNumberFormat="1" applyFont="1" applyBorder="1" applyAlignment="1">
      <alignment horizontal="centerContinuous" vertical="center"/>
    </xf>
    <xf numFmtId="172" fontId="4" fillId="0" borderId="35" xfId="0" applyNumberFormat="1" applyFont="1" applyBorder="1" applyAlignment="1">
      <alignment horizontal="center" vertical="center"/>
    </xf>
    <xf numFmtId="172" fontId="33" fillId="32" borderId="63" xfId="0" applyNumberFormat="1" applyFont="1" applyFill="1" applyBorder="1" applyAlignment="1">
      <alignment horizontal="center" vertical="center"/>
    </xf>
    <xf numFmtId="172" fontId="33" fillId="32" borderId="139" xfId="0" applyNumberFormat="1" applyFont="1" applyFill="1" applyBorder="1" applyAlignment="1">
      <alignment horizontal="center" vertical="center"/>
    </xf>
    <xf numFmtId="172" fontId="33" fillId="32" borderId="91" xfId="0" applyNumberFormat="1" applyFont="1" applyFill="1" applyBorder="1" applyAlignment="1">
      <alignment horizontal="center" vertical="center"/>
    </xf>
    <xf numFmtId="172" fontId="33" fillId="32" borderId="56" xfId="0" applyNumberFormat="1" applyFont="1" applyFill="1" applyBorder="1" applyAlignment="1">
      <alignment horizontal="center" vertical="center"/>
    </xf>
    <xf numFmtId="172" fontId="33" fillId="32" borderId="58" xfId="0" applyNumberFormat="1" applyFont="1" applyFill="1" applyBorder="1" applyAlignment="1">
      <alignment horizontal="center" vertical="center"/>
    </xf>
    <xf numFmtId="172" fontId="33" fillId="32" borderId="0" xfId="0" applyNumberFormat="1" applyFont="1" applyFill="1" applyAlignment="1">
      <alignment horizontal="center" vertical="center"/>
    </xf>
    <xf numFmtId="172" fontId="33" fillId="32" borderId="137" xfId="0" applyNumberFormat="1" applyFont="1" applyFill="1" applyBorder="1" applyAlignment="1">
      <alignment horizontal="center" vertical="center"/>
    </xf>
    <xf numFmtId="172" fontId="33" fillId="32" borderId="21" xfId="0" applyNumberFormat="1" applyFont="1" applyFill="1" applyBorder="1" applyAlignment="1">
      <alignment horizontal="center" vertical="center"/>
    </xf>
    <xf numFmtId="172" fontId="33" fillId="32" borderId="51" xfId="0" applyNumberFormat="1" applyFont="1" applyFill="1" applyBorder="1" applyAlignment="1">
      <alignment horizontal="center" vertical="center"/>
    </xf>
    <xf numFmtId="172" fontId="33" fillId="32" borderId="80" xfId="0" applyNumberFormat="1" applyFont="1" applyFill="1" applyBorder="1" applyAlignment="1">
      <alignment horizontal="center" vertical="center"/>
    </xf>
    <xf numFmtId="172" fontId="33" fillId="32" borderId="82" xfId="0" applyNumberFormat="1" applyFont="1" applyFill="1" applyBorder="1" applyAlignment="1">
      <alignment horizontal="center" vertical="center"/>
    </xf>
    <xf numFmtId="3" fontId="3" fillId="0" borderId="87" xfId="0" applyNumberFormat="1" applyFont="1" applyBorder="1" applyAlignment="1">
      <alignment horizontal="left" vertical="center"/>
    </xf>
    <xf numFmtId="172" fontId="4" fillId="33" borderId="87" xfId="0" applyNumberFormat="1" applyFont="1" applyFill="1" applyBorder="1" applyAlignment="1">
      <alignment horizontal="centerContinuous" vertical="center"/>
    </xf>
    <xf numFmtId="0" fontId="6" fillId="0" borderId="80" xfId="0" applyFont="1" applyBorder="1" applyAlignment="1">
      <alignment horizontal="left" vertical="center"/>
    </xf>
    <xf numFmtId="0" fontId="3" fillId="0" borderId="35" xfId="72" applyFont="1" applyBorder="1" applyAlignment="1">
      <alignment horizontal="center"/>
    </xf>
    <xf numFmtId="0" fontId="159" fillId="0" borderId="0" xfId="0" applyFont="1" applyAlignment="1">
      <alignment horizontal="center"/>
    </xf>
    <xf numFmtId="0" fontId="158" fillId="33" borderId="0" xfId="0" applyFont="1" applyFill="1"/>
    <xf numFmtId="0" fontId="143" fillId="0" borderId="0" xfId="0" applyFont="1" applyAlignment="1">
      <alignment horizontal="center" vertical="center"/>
    </xf>
    <xf numFmtId="0" fontId="28" fillId="0" borderId="168" xfId="0" applyFont="1" applyBorder="1" applyAlignment="1">
      <alignment horizontal="center" vertical="center"/>
    </xf>
    <xf numFmtId="0" fontId="28" fillId="0" borderId="34" xfId="0" applyFont="1" applyBorder="1" applyAlignment="1">
      <alignment horizontal="center" vertical="center" wrapText="1"/>
    </xf>
    <xf numFmtId="0" fontId="6" fillId="0" borderId="34" xfId="0" applyFont="1" applyBorder="1" applyAlignment="1">
      <alignment horizontal="center" vertical="center" wrapText="1"/>
    </xf>
    <xf numFmtId="0" fontId="3" fillId="0" borderId="26" xfId="0" applyFont="1" applyBorder="1"/>
    <xf numFmtId="0" fontId="3" fillId="0" borderId="41" xfId="0" applyFont="1" applyBorder="1" applyAlignment="1">
      <alignment horizontal="center" vertical="center"/>
    </xf>
    <xf numFmtId="0" fontId="33" fillId="0" borderId="42" xfId="0" applyFont="1" applyBorder="1" applyAlignment="1">
      <alignment horizontal="center"/>
    </xf>
    <xf numFmtId="0" fontId="4" fillId="0" borderId="169" xfId="0" applyFont="1" applyBorder="1" applyAlignment="1" applyProtection="1">
      <alignment wrapText="1"/>
      <protection locked="0"/>
    </xf>
    <xf numFmtId="0" fontId="3" fillId="0" borderId="69" xfId="0" applyFont="1" applyBorder="1" applyAlignment="1">
      <alignment horizontal="center" vertical="center"/>
    </xf>
    <xf numFmtId="0" fontId="33" fillId="0" borderId="88" xfId="0" applyFont="1" applyBorder="1" applyAlignment="1">
      <alignment horizontal="center"/>
    </xf>
    <xf numFmtId="0" fontId="4" fillId="0" borderId="69" xfId="0" applyFont="1" applyBorder="1" applyAlignment="1" applyProtection="1">
      <alignment wrapText="1"/>
      <protection locked="0"/>
    </xf>
    <xf numFmtId="0" fontId="3" fillId="0" borderId="121" xfId="0" applyFont="1" applyBorder="1" applyAlignment="1">
      <alignment horizontal="center" vertical="center"/>
    </xf>
    <xf numFmtId="0" fontId="33" fillId="0" borderId="27" xfId="0" applyFont="1" applyBorder="1" applyAlignment="1">
      <alignment horizontal="center"/>
    </xf>
    <xf numFmtId="0" fontId="33" fillId="0" borderId="140" xfId="0" applyFont="1" applyBorder="1" applyAlignment="1">
      <alignment horizontal="center"/>
    </xf>
    <xf numFmtId="0" fontId="4" fillId="0" borderId="121" xfId="0" applyFont="1" applyBorder="1" applyAlignment="1" applyProtection="1">
      <alignment wrapText="1"/>
      <protection locked="0"/>
    </xf>
    <xf numFmtId="0" fontId="4" fillId="0" borderId="170" xfId="0" applyFont="1" applyBorder="1" applyAlignment="1" applyProtection="1">
      <alignment wrapText="1"/>
      <protection locked="0"/>
    </xf>
    <xf numFmtId="0" fontId="3" fillId="0" borderId="68" xfId="0" applyFont="1" applyBorder="1" applyAlignment="1">
      <alignment horizontal="center" vertical="center"/>
    </xf>
    <xf numFmtId="0" fontId="3" fillId="0" borderId="122" xfId="0" applyFont="1" applyBorder="1" applyAlignment="1">
      <alignment horizontal="center" vertical="center"/>
    </xf>
    <xf numFmtId="0" fontId="33" fillId="0" borderId="32" xfId="0" applyFont="1" applyBorder="1" applyAlignment="1">
      <alignment horizontal="center"/>
    </xf>
    <xf numFmtId="0" fontId="4" fillId="0" borderId="122" xfId="0" applyFont="1" applyBorder="1" applyAlignment="1" applyProtection="1">
      <alignment wrapText="1"/>
      <protection locked="0"/>
    </xf>
    <xf numFmtId="0" fontId="33" fillId="0" borderId="41" xfId="0" applyFont="1" applyBorder="1" applyAlignment="1">
      <alignment horizontal="center"/>
    </xf>
    <xf numFmtId="0" fontId="33" fillId="0" borderId="69" xfId="0" applyFont="1" applyBorder="1" applyAlignment="1">
      <alignment horizontal="center"/>
    </xf>
    <xf numFmtId="0" fontId="33" fillId="0" borderId="170" xfId="0" applyFont="1" applyBorder="1" applyAlignment="1">
      <alignment horizontal="center"/>
    </xf>
    <xf numFmtId="0" fontId="33" fillId="0" borderId="171" xfId="0" applyFont="1" applyBorder="1" applyAlignment="1">
      <alignment horizontal="center"/>
    </xf>
    <xf numFmtId="0" fontId="15" fillId="0" borderId="0" xfId="0" applyFont="1"/>
    <xf numFmtId="38" fontId="3" fillId="0" borderId="114" xfId="60" applyNumberFormat="1" applyFont="1" applyFill="1" applyBorder="1" applyAlignment="1"/>
    <xf numFmtId="38" fontId="3" fillId="0" borderId="112" xfId="60" applyNumberFormat="1" applyFont="1" applyFill="1" applyBorder="1" applyAlignment="1"/>
    <xf numFmtId="40" fontId="3" fillId="0" borderId="114" xfId="60" applyFont="1" applyFill="1" applyBorder="1" applyAlignment="1"/>
    <xf numFmtId="40" fontId="3" fillId="0" borderId="112" xfId="60" applyFont="1" applyFill="1" applyBorder="1" applyAlignment="1"/>
    <xf numFmtId="0" fontId="3" fillId="0" borderId="97" xfId="60" applyNumberFormat="1" applyFont="1" applyFill="1" applyBorder="1" applyAlignment="1" applyProtection="1">
      <protection locked="0"/>
    </xf>
    <xf numFmtId="0" fontId="3" fillId="0" borderId="65" xfId="60" applyNumberFormat="1" applyFont="1" applyFill="1" applyBorder="1" applyAlignment="1" applyProtection="1">
      <protection locked="0"/>
    </xf>
    <xf numFmtId="168" fontId="3" fillId="0" borderId="97" xfId="60" applyNumberFormat="1" applyFont="1" applyFill="1" applyBorder="1" applyAlignment="1" applyProtection="1">
      <protection locked="0"/>
    </xf>
    <xf numFmtId="168" fontId="3" fillId="0" borderId="65" xfId="60" applyNumberFormat="1" applyFont="1" applyFill="1" applyBorder="1" applyAlignment="1" applyProtection="1">
      <protection locked="0"/>
    </xf>
    <xf numFmtId="0" fontId="33" fillId="0" borderId="58" xfId="0" applyFont="1" applyBorder="1" applyAlignment="1">
      <alignment horizontal="center"/>
    </xf>
    <xf numFmtId="0" fontId="4" fillId="0" borderId="38" xfId="0" applyFont="1" applyBorder="1" applyAlignment="1">
      <alignment horizontal="left"/>
    </xf>
    <xf numFmtId="0" fontId="33" fillId="0" borderId="63" xfId="0" applyFont="1" applyBorder="1" applyAlignment="1">
      <alignment horizontal="center"/>
    </xf>
    <xf numFmtId="0" fontId="3" fillId="0" borderId="72" xfId="60" applyNumberFormat="1" applyFont="1" applyFill="1" applyBorder="1" applyAlignment="1" applyProtection="1">
      <protection locked="0"/>
    </xf>
    <xf numFmtId="168" fontId="3" fillId="0" borderId="72" xfId="60" applyNumberFormat="1" applyFont="1" applyFill="1" applyBorder="1" applyAlignment="1" applyProtection="1">
      <protection locked="0"/>
    </xf>
    <xf numFmtId="0" fontId="3" fillId="0" borderId="86" xfId="60" applyNumberFormat="1" applyFont="1" applyFill="1" applyBorder="1" applyAlignment="1" applyProtection="1">
      <protection locked="0"/>
    </xf>
    <xf numFmtId="168" fontId="3" fillId="0" borderId="86" xfId="60" applyNumberFormat="1" applyFont="1" applyFill="1" applyBorder="1" applyAlignment="1" applyProtection="1">
      <protection locked="0"/>
    </xf>
    <xf numFmtId="0" fontId="33" fillId="0" borderId="21" xfId="0" applyFont="1" applyBorder="1" applyAlignment="1">
      <alignment horizontal="center"/>
    </xf>
    <xf numFmtId="0" fontId="12" fillId="0" borderId="40" xfId="0" applyFont="1" applyBorder="1" applyAlignment="1">
      <alignment horizontal="center"/>
    </xf>
    <xf numFmtId="0" fontId="12" fillId="0" borderId="26" xfId="0" applyFont="1" applyBorder="1" applyAlignment="1">
      <alignment horizontal="center"/>
    </xf>
    <xf numFmtId="0" fontId="11" fillId="0" borderId="30" xfId="0" applyFont="1" applyBorder="1" applyAlignment="1">
      <alignment horizontal="center"/>
    </xf>
    <xf numFmtId="0" fontId="3" fillId="0" borderId="104" xfId="0" applyFont="1" applyBorder="1" applyAlignment="1">
      <alignment horizontal="centerContinuous"/>
    </xf>
    <xf numFmtId="0" fontId="6" fillId="0" borderId="21" xfId="0" applyFont="1" applyBorder="1" applyAlignment="1">
      <alignment horizontal="center" vertical="center" wrapText="1"/>
    </xf>
    <xf numFmtId="0" fontId="28" fillId="0" borderId="20" xfId="0" applyFont="1" applyBorder="1" applyAlignment="1">
      <alignment horizontal="center" vertical="center"/>
    </xf>
    <xf numFmtId="0" fontId="3" fillId="0" borderId="93" xfId="0" applyFont="1" applyBorder="1" applyAlignment="1">
      <alignment horizontal="centerContinuous" vertical="center"/>
    </xf>
    <xf numFmtId="0" fontId="3" fillId="0" borderId="120" xfId="0" applyFont="1" applyBorder="1" applyAlignment="1">
      <alignment horizontal="centerContinuous" vertical="center"/>
    </xf>
    <xf numFmtId="0" fontId="9" fillId="0" borderId="0" xfId="0" applyFont="1" applyAlignment="1">
      <alignment vertical="top"/>
    </xf>
    <xf numFmtId="40" fontId="3" fillId="0" borderId="113" xfId="60" applyFont="1" applyFill="1" applyBorder="1" applyAlignment="1"/>
    <xf numFmtId="2" fontId="3" fillId="0" borderId="97" xfId="60" applyNumberFormat="1" applyFont="1" applyFill="1" applyBorder="1" applyAlignment="1" applyProtection="1">
      <protection locked="0"/>
    </xf>
    <xf numFmtId="2" fontId="3" fillId="0" borderId="65" xfId="60" applyNumberFormat="1" applyFont="1" applyFill="1" applyBorder="1" applyAlignment="1" applyProtection="1">
      <protection locked="0"/>
    </xf>
    <xf numFmtId="2" fontId="3" fillId="0" borderId="48" xfId="60" applyNumberFormat="1" applyFont="1" applyFill="1" applyBorder="1" applyAlignment="1" applyProtection="1">
      <protection locked="0"/>
    </xf>
    <xf numFmtId="2" fontId="3" fillId="0" borderId="72" xfId="60" applyNumberFormat="1" applyFont="1" applyFill="1" applyBorder="1" applyAlignment="1" applyProtection="1">
      <protection locked="0"/>
    </xf>
    <xf numFmtId="2" fontId="3" fillId="0" borderId="84" xfId="60" applyNumberFormat="1" applyFont="1" applyFill="1" applyBorder="1" applyAlignment="1" applyProtection="1">
      <protection locked="0"/>
    </xf>
    <xf numFmtId="2" fontId="3" fillId="0" borderId="79" xfId="60" applyNumberFormat="1" applyFont="1" applyFill="1" applyBorder="1" applyAlignment="1" applyProtection="1">
      <protection locked="0"/>
    </xf>
    <xf numFmtId="2" fontId="3" fillId="0" borderId="86" xfId="60" applyNumberFormat="1" applyFont="1" applyFill="1" applyBorder="1" applyAlignment="1" applyProtection="1">
      <protection locked="0"/>
    </xf>
    <xf numFmtId="0" fontId="12" fillId="0" borderId="27" xfId="0" applyFont="1" applyBorder="1" applyAlignment="1">
      <alignment horizontal="center"/>
    </xf>
    <xf numFmtId="0" fontId="6" fillId="0" borderId="43" xfId="0" applyFont="1" applyBorder="1" applyAlignment="1">
      <alignment horizontal="centerContinuous" vertical="center"/>
    </xf>
    <xf numFmtId="0" fontId="6" fillId="0" borderId="42" xfId="0" applyFont="1" applyBorder="1" applyAlignment="1">
      <alignment horizontal="centerContinuous" vertical="center"/>
    </xf>
    <xf numFmtId="0" fontId="2" fillId="0" borderId="12" xfId="0" applyFont="1" applyBorder="1" applyAlignment="1">
      <alignment horizontal="centerContinuous" vertical="center"/>
    </xf>
    <xf numFmtId="0" fontId="3" fillId="0" borderId="80" xfId="0" applyFont="1" applyBorder="1" applyAlignment="1">
      <alignment horizontal="centerContinuous" vertical="center"/>
    </xf>
    <xf numFmtId="0" fontId="146" fillId="0" borderId="0" xfId="0" applyFont="1" applyAlignment="1">
      <alignment horizontal="center" vertical="center"/>
    </xf>
    <xf numFmtId="0" fontId="5" fillId="0" borderId="120" xfId="0" applyFont="1" applyBorder="1" applyAlignment="1">
      <alignment vertical="center" wrapText="1"/>
    </xf>
    <xf numFmtId="0" fontId="158" fillId="0" borderId="0" xfId="0" applyFont="1" applyAlignment="1">
      <alignment horizontal="center" vertical="center"/>
    </xf>
    <xf numFmtId="0" fontId="4" fillId="0" borderId="38" xfId="0" applyFont="1" applyBorder="1" applyAlignment="1">
      <alignment horizontal="left" wrapText="1"/>
    </xf>
    <xf numFmtId="3" fontId="3" fillId="0" borderId="65" xfId="0" applyNumberFormat="1" applyFont="1" applyBorder="1" applyAlignment="1" applyProtection="1">
      <alignment vertical="center"/>
      <protection locked="0"/>
    </xf>
    <xf numFmtId="0" fontId="6" fillId="0" borderId="12" xfId="0" applyFont="1" applyBorder="1" applyAlignment="1">
      <alignment horizontal="centerContinuous"/>
    </xf>
    <xf numFmtId="0" fontId="67" fillId="0" borderId="0" xfId="90" applyNumberFormat="1" applyFont="1" applyAlignment="1">
      <alignment horizontal="center" vertical="center" wrapText="1"/>
    </xf>
    <xf numFmtId="0" fontId="146" fillId="0" borderId="0" xfId="0" applyFont="1" applyAlignment="1" applyProtection="1">
      <alignment horizontal="center" vertical="center"/>
      <protection locked="0"/>
    </xf>
    <xf numFmtId="0" fontId="15" fillId="0" borderId="0" xfId="129"/>
    <xf numFmtId="0" fontId="15" fillId="33" borderId="10" xfId="129" applyFill="1" applyBorder="1"/>
    <xf numFmtId="0" fontId="15" fillId="33" borderId="78" xfId="129" applyFill="1" applyBorder="1"/>
    <xf numFmtId="0" fontId="15" fillId="0" borderId="0" xfId="129" applyAlignment="1">
      <alignment vertical="center"/>
    </xf>
    <xf numFmtId="0" fontId="12" fillId="0" borderId="90" xfId="128" applyFont="1" applyBorder="1" applyAlignment="1">
      <alignment horizontal="center"/>
    </xf>
    <xf numFmtId="0" fontId="12" fillId="0" borderId="175" xfId="129" applyFont="1" applyBorder="1" applyAlignment="1">
      <alignment horizontal="center"/>
    </xf>
    <xf numFmtId="0" fontId="25" fillId="0" borderId="20" xfId="129" applyFont="1" applyBorder="1" applyAlignment="1">
      <alignment horizontal="center"/>
    </xf>
    <xf numFmtId="0" fontId="25" fillId="0" borderId="0" xfId="129" applyFont="1" applyAlignment="1">
      <alignment horizontal="center"/>
    </xf>
    <xf numFmtId="0" fontId="12" fillId="0" borderId="176" xfId="128" applyFont="1" applyBorder="1" applyAlignment="1">
      <alignment horizontal="center"/>
    </xf>
    <xf numFmtId="0" fontId="12" fillId="0" borderId="145" xfId="129" applyFont="1" applyBorder="1" applyAlignment="1">
      <alignment horizontal="center"/>
    </xf>
    <xf numFmtId="3" fontId="3" fillId="24" borderId="65" xfId="0" applyNumberFormat="1" applyFont="1" applyFill="1" applyBorder="1"/>
    <xf numFmtId="3" fontId="3" fillId="24" borderId="97" xfId="0" applyNumberFormat="1" applyFont="1" applyFill="1" applyBorder="1"/>
    <xf numFmtId="3" fontId="3" fillId="24" borderId="38" xfId="0" applyNumberFormat="1" applyFont="1" applyFill="1" applyBorder="1" applyProtection="1">
      <protection locked="0"/>
    </xf>
    <xf numFmtId="0" fontId="0" fillId="0" borderId="159" xfId="0" applyBorder="1"/>
    <xf numFmtId="0" fontId="0" fillId="29" borderId="0" xfId="0" applyFill="1"/>
    <xf numFmtId="3" fontId="3" fillId="24" borderId="38" xfId="0" applyNumberFormat="1" applyFont="1" applyFill="1" applyBorder="1"/>
    <xf numFmtId="0" fontId="6" fillId="0" borderId="22" xfId="128" applyFont="1" applyBorder="1" applyAlignment="1">
      <alignment horizontal="left"/>
    </xf>
    <xf numFmtId="0" fontId="10" fillId="0" borderId="28" xfId="128" applyFont="1" applyBorder="1" applyAlignment="1">
      <alignment horizontal="center"/>
    </xf>
    <xf numFmtId="3" fontId="10" fillId="0" borderId="112" xfId="128" applyNumberFormat="1" applyFont="1" applyBorder="1" applyAlignment="1">
      <alignment horizontal="center"/>
    </xf>
    <xf numFmtId="3" fontId="10" fillId="0" borderId="28" xfId="128" applyNumberFormat="1" applyFont="1" applyBorder="1" applyAlignment="1">
      <alignment horizontal="center"/>
    </xf>
    <xf numFmtId="3" fontId="10" fillId="0" borderId="113" xfId="128" applyNumberFormat="1" applyFont="1" applyBorder="1" applyAlignment="1">
      <alignment horizontal="center"/>
    </xf>
    <xf numFmtId="3" fontId="10" fillId="0" borderId="129" xfId="128" applyNumberFormat="1" applyFont="1" applyBorder="1" applyAlignment="1">
      <alignment horizontal="center"/>
    </xf>
    <xf numFmtId="0" fontId="5" fillId="0" borderId="20" xfId="129" applyFont="1" applyBorder="1"/>
    <xf numFmtId="0" fontId="5" fillId="0" borderId="0" xfId="129" applyFont="1"/>
    <xf numFmtId="3" fontId="10" fillId="0" borderId="53" xfId="128" applyNumberFormat="1" applyFont="1" applyBorder="1" applyAlignment="1">
      <alignment horizontal="center"/>
    </xf>
    <xf numFmtId="3" fontId="10" fillId="0" borderId="114" xfId="128" applyNumberFormat="1" applyFont="1" applyBorder="1" applyAlignment="1">
      <alignment horizontal="center"/>
    </xf>
    <xf numFmtId="0" fontId="6" fillId="0" borderId="77" xfId="0" applyFont="1" applyBorder="1" applyAlignment="1">
      <alignment horizontal="right"/>
    </xf>
    <xf numFmtId="0" fontId="3" fillId="29" borderId="35" xfId="0" applyFont="1" applyFill="1" applyBorder="1"/>
    <xf numFmtId="0" fontId="6" fillId="0" borderId="99" xfId="0" applyFont="1" applyBorder="1" applyAlignment="1">
      <alignment horizontal="center" wrapText="1"/>
    </xf>
    <xf numFmtId="0" fontId="6" fillId="0" borderId="25" xfId="0" applyFont="1" applyBorder="1" applyAlignment="1">
      <alignment horizontal="center" vertical="center" wrapText="1"/>
    </xf>
    <xf numFmtId="0" fontId="5" fillId="0" borderId="104" xfId="0" applyFont="1" applyBorder="1" applyAlignment="1">
      <alignment horizontal="left" vertical="center" wrapText="1"/>
    </xf>
    <xf numFmtId="0" fontId="5" fillId="0" borderId="105" xfId="0" applyFont="1" applyBorder="1" applyAlignment="1">
      <alignment horizontal="center" vertical="center"/>
    </xf>
    <xf numFmtId="0" fontId="5" fillId="0" borderId="100" xfId="0" applyFont="1" applyBorder="1" applyAlignment="1">
      <alignment horizontal="centerContinuous" vertical="center" wrapText="1"/>
    </xf>
    <xf numFmtId="0" fontId="5" fillId="0" borderId="95" xfId="0" applyFont="1" applyBorder="1" applyAlignment="1">
      <alignment horizontal="centerContinuous" vertical="center" wrapText="1"/>
    </xf>
    <xf numFmtId="0" fontId="3" fillId="0" borderId="157" xfId="0" applyFont="1" applyBorder="1"/>
    <xf numFmtId="0" fontId="3" fillId="0" borderId="120" xfId="0" applyFont="1" applyBorder="1" applyAlignment="1">
      <alignment horizontal="center"/>
    </xf>
    <xf numFmtId="0" fontId="3" fillId="0" borderId="15" xfId="0" applyFont="1" applyBorder="1"/>
    <xf numFmtId="0" fontId="3" fillId="0" borderId="40" xfId="0" applyFont="1" applyBorder="1"/>
    <xf numFmtId="0" fontId="3" fillId="0" borderId="108" xfId="0" applyFont="1" applyBorder="1"/>
    <xf numFmtId="0" fontId="3" fillId="0" borderId="167" xfId="0" applyFont="1" applyBorder="1"/>
    <xf numFmtId="0" fontId="3" fillId="0" borderId="167" xfId="0" applyFont="1" applyBorder="1" applyAlignment="1">
      <alignment horizontal="center"/>
    </xf>
    <xf numFmtId="0" fontId="28" fillId="0" borderId="166" xfId="0" applyFont="1" applyBorder="1" applyAlignment="1">
      <alignment vertical="center"/>
    </xf>
    <xf numFmtId="0" fontId="15" fillId="0" borderId="35" xfId="0" applyFont="1" applyBorder="1" applyAlignment="1">
      <alignment horizontal="center"/>
    </xf>
    <xf numFmtId="0" fontId="3" fillId="0" borderId="38" xfId="0" applyFont="1" applyBorder="1" applyAlignment="1">
      <alignment horizontal="justify" wrapText="1"/>
    </xf>
    <xf numFmtId="0" fontId="6" fillId="30" borderId="146" xfId="0" applyFont="1" applyFill="1" applyBorder="1" applyAlignment="1">
      <alignment horizontal="center" vertical="center" wrapText="1"/>
    </xf>
    <xf numFmtId="0" fontId="6" fillId="30" borderId="35" xfId="0" applyFont="1" applyFill="1" applyBorder="1" applyAlignment="1">
      <alignment horizontal="center" vertical="center" wrapText="1"/>
    </xf>
    <xf numFmtId="0" fontId="6" fillId="30" borderId="103" xfId="0" applyFont="1" applyFill="1" applyBorder="1" applyAlignment="1">
      <alignment horizontal="center" vertical="center"/>
    </xf>
    <xf numFmtId="0" fontId="6" fillId="30" borderId="147" xfId="0" applyFont="1" applyFill="1" applyBorder="1" applyAlignment="1">
      <alignment horizontal="center" vertical="center" wrapText="1"/>
    </xf>
    <xf numFmtId="0" fontId="3" fillId="0" borderId="124" xfId="0" applyFont="1" applyBorder="1" applyAlignment="1">
      <alignment horizontal="justify" wrapText="1"/>
    </xf>
    <xf numFmtId="3" fontId="15" fillId="0" borderId="125" xfId="0" applyNumberFormat="1" applyFont="1" applyBorder="1" applyAlignment="1">
      <alignment vertical="center"/>
    </xf>
    <xf numFmtId="0" fontId="15" fillId="0" borderId="72" xfId="0" applyFont="1" applyBorder="1" applyAlignment="1" applyProtection="1">
      <alignment wrapText="1"/>
      <protection locked="0"/>
    </xf>
    <xf numFmtId="0" fontId="6" fillId="30" borderId="72" xfId="0" applyFont="1" applyFill="1" applyBorder="1" applyAlignment="1">
      <alignment horizontal="center" vertical="center" wrapText="1"/>
    </xf>
    <xf numFmtId="0" fontId="3" fillId="0" borderId="0" xfId="0" applyFont="1" applyAlignment="1">
      <alignment horizontal="right"/>
    </xf>
    <xf numFmtId="0" fontId="158" fillId="0" borderId="0" xfId="0" applyFont="1" applyAlignment="1">
      <alignment horizontal="right"/>
    </xf>
    <xf numFmtId="0" fontId="10" fillId="0" borderId="87" xfId="129" applyFont="1" applyBorder="1" applyAlignment="1">
      <alignment horizontal="center" vertical="center" wrapText="1"/>
    </xf>
    <xf numFmtId="3" fontId="3" fillId="24" borderId="81" xfId="0" applyNumberFormat="1" applyFont="1" applyFill="1" applyBorder="1" applyProtection="1">
      <protection locked="0"/>
    </xf>
    <xf numFmtId="0" fontId="0" fillId="29" borderId="27" xfId="0" applyFill="1" applyBorder="1"/>
    <xf numFmtId="0" fontId="0" fillId="29" borderId="32" xfId="0" applyFill="1" applyBorder="1"/>
    <xf numFmtId="3" fontId="3" fillId="24" borderId="177" xfId="0" applyNumberFormat="1" applyFont="1" applyFill="1" applyBorder="1"/>
    <xf numFmtId="3" fontId="10" fillId="0" borderId="123" xfId="128" applyNumberFormat="1" applyFont="1" applyBorder="1" applyAlignment="1">
      <alignment horizontal="center"/>
    </xf>
    <xf numFmtId="3" fontId="3" fillId="24" borderId="20" xfId="0" applyNumberFormat="1" applyFont="1" applyFill="1" applyBorder="1"/>
    <xf numFmtId="3" fontId="10" fillId="0" borderId="74" xfId="128" applyNumberFormat="1" applyFont="1" applyBorder="1" applyAlignment="1">
      <alignment horizontal="center"/>
    </xf>
    <xf numFmtId="3" fontId="3" fillId="24" borderId="18" xfId="0" applyNumberFormat="1" applyFont="1" applyFill="1" applyBorder="1"/>
    <xf numFmtId="0" fontId="3" fillId="0" borderId="63" xfId="85" applyFont="1" applyBorder="1" applyAlignment="1">
      <alignment horizontal="center"/>
    </xf>
    <xf numFmtId="0" fontId="3" fillId="0" borderId="159" xfId="70" applyFont="1" applyBorder="1"/>
    <xf numFmtId="0" fontId="2" fillId="0" borderId="10" xfId="70" applyFont="1" applyBorder="1" applyAlignment="1">
      <alignment horizontal="center" vertical="center" wrapText="1"/>
    </xf>
    <xf numFmtId="0" fontId="3" fillId="0" borderId="49" xfId="70" applyFont="1" applyBorder="1"/>
    <xf numFmtId="0" fontId="3" fillId="0" borderId="49" xfId="70" applyFont="1" applyBorder="1" applyAlignment="1">
      <alignment wrapText="1"/>
    </xf>
    <xf numFmtId="0" fontId="2" fillId="0" borderId="20" xfId="70" applyFont="1" applyBorder="1" applyAlignment="1">
      <alignment horizontal="center" vertical="center"/>
    </xf>
    <xf numFmtId="0" fontId="130" fillId="0" borderId="35" xfId="75" applyFont="1" applyBorder="1" applyAlignment="1" applyProtection="1">
      <alignment horizontal="center" vertical="center" wrapText="1"/>
      <protection locked="0"/>
    </xf>
    <xf numFmtId="0" fontId="137" fillId="0" borderId="0" xfId="75" applyFont="1" applyAlignment="1">
      <alignment vertical="center" wrapText="1"/>
    </xf>
    <xf numFmtId="0" fontId="128" fillId="0" borderId="0" xfId="75" applyFont="1" applyAlignment="1" applyProtection="1">
      <alignment horizontal="center" vertical="center"/>
      <protection hidden="1"/>
    </xf>
    <xf numFmtId="0" fontId="128" fillId="0" borderId="0" xfId="80" applyFont="1" applyAlignment="1" applyProtection="1">
      <alignment horizontal="center" vertical="center"/>
      <protection hidden="1"/>
    </xf>
    <xf numFmtId="0" fontId="133" fillId="0" borderId="0" xfId="75" applyFont="1" applyAlignment="1">
      <alignment vertical="center" wrapText="1"/>
    </xf>
    <xf numFmtId="0" fontId="121" fillId="0" borderId="0" xfId="75" applyAlignment="1">
      <alignment vertical="center" wrapText="1"/>
    </xf>
    <xf numFmtId="0" fontId="26" fillId="0" borderId="0" xfId="80" applyFont="1" applyAlignment="1">
      <alignment vertical="center" wrapText="1"/>
    </xf>
    <xf numFmtId="0" fontId="156" fillId="0" borderId="0" xfId="76" applyFont="1"/>
    <xf numFmtId="0" fontId="148" fillId="0" borderId="0" xfId="76" applyFont="1"/>
    <xf numFmtId="0" fontId="125" fillId="0" borderId="0" xfId="0" applyFont="1" applyAlignment="1">
      <alignment horizontal="center"/>
    </xf>
    <xf numFmtId="164" fontId="164" fillId="0" borderId="0" xfId="90" applyFont="1" applyAlignment="1">
      <alignment vertical="center"/>
    </xf>
    <xf numFmtId="164" fontId="165" fillId="0" borderId="0" xfId="90" applyFont="1" applyAlignment="1">
      <alignment vertical="center"/>
    </xf>
    <xf numFmtId="0" fontId="166" fillId="0" borderId="0" xfId="0" applyFont="1"/>
    <xf numFmtId="164" fontId="167" fillId="0" borderId="0" xfId="90" applyFont="1" applyAlignment="1">
      <alignment vertical="center"/>
    </xf>
    <xf numFmtId="0" fontId="168" fillId="0" borderId="0" xfId="0" applyFont="1"/>
    <xf numFmtId="0" fontId="168" fillId="0" borderId="0" xfId="0" applyFont="1" applyAlignment="1">
      <alignment horizontal="center"/>
    </xf>
    <xf numFmtId="0" fontId="168" fillId="0" borderId="0" xfId="0" quotePrefix="1" applyFont="1" applyAlignment="1">
      <alignment horizontal="center"/>
    </xf>
    <xf numFmtId="0" fontId="3" fillId="0" borderId="59" xfId="70" applyFont="1" applyBorder="1" applyAlignment="1">
      <alignment horizontal="left"/>
    </xf>
    <xf numFmtId="0" fontId="169" fillId="0" borderId="0" xfId="75" applyFont="1" applyAlignment="1">
      <alignment vertical="center" wrapText="1"/>
    </xf>
    <xf numFmtId="0" fontId="170" fillId="29" borderId="0" xfId="70" applyFont="1" applyFill="1" applyAlignment="1">
      <alignment horizontal="center" vertical="center"/>
    </xf>
    <xf numFmtId="0" fontId="2" fillId="0" borderId="0" xfId="76" applyFont="1" applyAlignment="1">
      <alignment vertical="center"/>
    </xf>
    <xf numFmtId="0" fontId="4" fillId="0" borderId="0" xfId="76" applyFont="1" applyAlignment="1">
      <alignment horizontal="center" vertical="center" wrapText="1"/>
    </xf>
    <xf numFmtId="0" fontId="15" fillId="0" borderId="0" xfId="76" applyFont="1"/>
    <xf numFmtId="172" fontId="33" fillId="32" borderId="35" xfId="0" applyNumberFormat="1" applyFont="1" applyFill="1" applyBorder="1" applyAlignment="1">
      <alignment horizontal="center" vertical="center"/>
    </xf>
    <xf numFmtId="0" fontId="0" fillId="29" borderId="178" xfId="0" applyFill="1" applyBorder="1"/>
    <xf numFmtId="0" fontId="0" fillId="29" borderId="179" xfId="0" applyFill="1" applyBorder="1"/>
    <xf numFmtId="164" fontId="9" fillId="0" borderId="0" xfId="90" applyFont="1" applyAlignment="1">
      <alignment horizontal="left" vertical="center" wrapText="1"/>
    </xf>
    <xf numFmtId="164" fontId="9" fillId="0" borderId="137" xfId="90" applyFont="1" applyBorder="1" applyAlignment="1">
      <alignment horizontal="left" vertical="center" wrapText="1"/>
    </xf>
    <xf numFmtId="49" fontId="24" fillId="0" borderId="63" xfId="0" applyNumberFormat="1" applyFont="1" applyBorder="1" applyAlignment="1" applyProtection="1">
      <alignment horizontal="left" vertical="center"/>
      <protection locked="0"/>
    </xf>
    <xf numFmtId="49" fontId="24" fillId="0" borderId="59" xfId="0" applyNumberFormat="1" applyFont="1" applyBorder="1" applyAlignment="1" applyProtection="1">
      <alignment horizontal="left" vertical="center"/>
      <protection locked="0"/>
    </xf>
    <xf numFmtId="49" fontId="15" fillId="26" borderId="63" xfId="90" applyNumberFormat="1" applyFont="1" applyFill="1" applyBorder="1" applyAlignment="1" applyProtection="1">
      <alignment horizontal="left" vertical="center"/>
      <protection locked="0"/>
    </xf>
    <xf numFmtId="49" fontId="15" fillId="26" borderId="59" xfId="90" applyNumberFormat="1" applyFont="1" applyFill="1" applyBorder="1" applyAlignment="1" applyProtection="1">
      <alignment horizontal="left" vertical="center"/>
      <protection locked="0"/>
    </xf>
    <xf numFmtId="49" fontId="15" fillId="0" borderId="63" xfId="90" applyNumberFormat="1" applyFont="1" applyBorder="1" applyAlignment="1" applyProtection="1">
      <alignment horizontal="left" vertical="center"/>
      <protection locked="0"/>
    </xf>
    <xf numFmtId="49" fontId="15" fillId="0" borderId="59" xfId="90" applyNumberFormat="1" applyFont="1" applyBorder="1" applyAlignment="1" applyProtection="1">
      <alignment horizontal="left" vertical="center"/>
      <protection locked="0"/>
    </xf>
    <xf numFmtId="0" fontId="96" fillId="25" borderId="63" xfId="0" applyFont="1" applyFill="1" applyBorder="1" applyAlignment="1">
      <alignment horizontal="center" vertical="center" readingOrder="1"/>
    </xf>
    <xf numFmtId="0" fontId="96" fillId="25" borderId="87" xfId="0" applyFont="1" applyFill="1" applyBorder="1" applyAlignment="1">
      <alignment horizontal="center" vertical="center" readingOrder="1"/>
    </xf>
    <xf numFmtId="0" fontId="96" fillId="25" borderId="59" xfId="0" applyFont="1" applyFill="1" applyBorder="1" applyAlignment="1">
      <alignment horizontal="center" vertical="center" readingOrder="1"/>
    </xf>
    <xf numFmtId="164" fontId="9" fillId="33" borderId="0" xfId="90" applyFont="1" applyFill="1" applyAlignment="1">
      <alignment horizontal="left" vertical="center" wrapText="1"/>
    </xf>
    <xf numFmtId="49" fontId="15" fillId="0" borderId="63" xfId="87" applyNumberFormat="1" applyFont="1" applyBorder="1" applyAlignment="1" applyProtection="1">
      <alignment horizontal="left" vertical="center"/>
      <protection locked="0"/>
    </xf>
    <xf numFmtId="49" fontId="15" fillId="0" borderId="87" xfId="87" applyNumberFormat="1" applyFont="1" applyBorder="1" applyAlignment="1" applyProtection="1">
      <alignment horizontal="left" vertical="center"/>
      <protection locked="0"/>
    </xf>
    <xf numFmtId="164" fontId="23" fillId="0" borderId="0" xfId="90" applyFont="1" applyAlignment="1">
      <alignment horizontal="left" wrapText="1"/>
    </xf>
    <xf numFmtId="164" fontId="5" fillId="0" borderId="0" xfId="90" applyFont="1" applyAlignment="1">
      <alignment horizontal="left" wrapText="1"/>
    </xf>
    <xf numFmtId="164" fontId="22" fillId="0" borderId="139" xfId="90" applyFont="1" applyBorder="1" applyAlignment="1">
      <alignment horizontal="left" wrapText="1"/>
    </xf>
    <xf numFmtId="0" fontId="92" fillId="25" borderId="63" xfId="0" applyFont="1" applyFill="1" applyBorder="1" applyAlignment="1">
      <alignment horizontal="center" vertical="center" wrapText="1" readingOrder="1"/>
    </xf>
    <xf numFmtId="0" fontId="92" fillId="25" borderId="87" xfId="0" applyFont="1" applyFill="1" applyBorder="1" applyAlignment="1">
      <alignment horizontal="center" vertical="center" wrapText="1" readingOrder="1"/>
    </xf>
    <xf numFmtId="0" fontId="92" fillId="25" borderId="59" xfId="0" applyFont="1" applyFill="1" applyBorder="1" applyAlignment="1">
      <alignment horizontal="center" vertical="center" wrapText="1" readingOrder="1"/>
    </xf>
    <xf numFmtId="49" fontId="24" fillId="0" borderId="158" xfId="87" applyNumberFormat="1" applyFont="1" applyBorder="1" applyAlignment="1" applyProtection="1">
      <alignment horizontal="left" vertical="center" wrapText="1"/>
      <protection locked="0"/>
    </xf>
    <xf numFmtId="49" fontId="24" fillId="0" borderId="139" xfId="87" applyNumberFormat="1" applyFont="1" applyBorder="1" applyAlignment="1" applyProtection="1">
      <alignment horizontal="left" vertical="center" wrapText="1"/>
      <protection locked="0"/>
    </xf>
    <xf numFmtId="49" fontId="24" fillId="0" borderId="91" xfId="87" applyNumberFormat="1" applyFont="1" applyBorder="1" applyAlignment="1" applyProtection="1">
      <alignment horizontal="left" vertical="center" wrapText="1"/>
      <protection locked="0"/>
    </xf>
    <xf numFmtId="49" fontId="24" fillId="0" borderId="21" xfId="87" applyNumberFormat="1" applyFont="1" applyBorder="1" applyAlignment="1" applyProtection="1">
      <alignment horizontal="left" vertical="center" wrapText="1"/>
      <protection locked="0"/>
    </xf>
    <xf numFmtId="49" fontId="24" fillId="0" borderId="0" xfId="87" applyNumberFormat="1" applyFont="1" applyAlignment="1" applyProtection="1">
      <alignment horizontal="left" vertical="center" wrapText="1"/>
      <protection locked="0"/>
    </xf>
    <xf numFmtId="49" fontId="24" fillId="0" borderId="137" xfId="87" applyNumberFormat="1" applyFont="1" applyBorder="1" applyAlignment="1" applyProtection="1">
      <alignment horizontal="left" vertical="center" wrapText="1"/>
      <protection locked="0"/>
    </xf>
    <xf numFmtId="49" fontId="24" fillId="0" borderId="58" xfId="87" applyNumberFormat="1" applyFont="1" applyBorder="1" applyAlignment="1" applyProtection="1">
      <alignment horizontal="left" vertical="center" wrapText="1"/>
      <protection locked="0"/>
    </xf>
    <xf numFmtId="49" fontId="24" fillId="0" borderId="80" xfId="87" applyNumberFormat="1" applyFont="1" applyBorder="1" applyAlignment="1" applyProtection="1">
      <alignment horizontal="left" vertical="center" wrapText="1"/>
      <protection locked="0"/>
    </xf>
    <xf numFmtId="49" fontId="24" fillId="0" borderId="82" xfId="87" applyNumberFormat="1" applyFont="1" applyBorder="1" applyAlignment="1" applyProtection="1">
      <alignment horizontal="left" vertical="center" wrapText="1"/>
      <protection locked="0"/>
    </xf>
    <xf numFmtId="164" fontId="44" fillId="0" borderId="0" xfId="90" applyFont="1" applyAlignment="1">
      <alignment horizontal="left" vertical="center"/>
    </xf>
    <xf numFmtId="49" fontId="15" fillId="0" borderId="59" xfId="87" applyNumberFormat="1" applyFont="1" applyBorder="1" applyAlignment="1" applyProtection="1">
      <alignment horizontal="left" vertical="center"/>
      <protection locked="0"/>
    </xf>
    <xf numFmtId="49" fontId="15" fillId="26" borderId="63" xfId="87" applyNumberFormat="1" applyFont="1" applyFill="1" applyBorder="1" applyAlignment="1" applyProtection="1">
      <alignment horizontal="left" vertical="center"/>
      <protection locked="0"/>
    </xf>
    <xf numFmtId="49" fontId="15" fillId="26" borderId="87" xfId="87" applyNumberFormat="1" applyFont="1" applyFill="1" applyBorder="1" applyAlignment="1" applyProtection="1">
      <alignment horizontal="left" vertical="center"/>
      <protection locked="0"/>
    </xf>
    <xf numFmtId="49" fontId="15" fillId="26" borderId="59" xfId="87" applyNumberFormat="1" applyFont="1" applyFill="1" applyBorder="1" applyAlignment="1" applyProtection="1">
      <alignment horizontal="left" vertical="center"/>
      <protection locked="0"/>
    </xf>
    <xf numFmtId="164" fontId="44" fillId="0" borderId="0" xfId="90" applyFont="1" applyAlignment="1">
      <alignment horizontal="center" vertical="center"/>
    </xf>
    <xf numFmtId="49" fontId="8" fillId="0" borderId="63" xfId="43" applyNumberFormat="1" applyFill="1" applyBorder="1" applyAlignment="1" applyProtection="1">
      <alignment horizontal="left" vertical="center"/>
      <protection locked="0"/>
    </xf>
    <xf numFmtId="49" fontId="102" fillId="24" borderId="63" xfId="43" applyNumberFormat="1" applyFont="1" applyFill="1" applyBorder="1" applyAlignment="1" applyProtection="1">
      <alignment vertical="center"/>
      <protection locked="0"/>
    </xf>
    <xf numFmtId="49" fontId="15" fillId="24" borderId="87" xfId="0" applyNumberFormat="1" applyFont="1" applyFill="1" applyBorder="1" applyAlignment="1" applyProtection="1">
      <alignment vertical="center"/>
      <protection locked="0"/>
    </xf>
    <xf numFmtId="49" fontId="15" fillId="24" borderId="59" xfId="0" applyNumberFormat="1" applyFont="1" applyFill="1" applyBorder="1" applyAlignment="1" applyProtection="1">
      <alignment vertical="center"/>
      <protection locked="0"/>
    </xf>
    <xf numFmtId="0" fontId="6" fillId="0" borderId="41" xfId="0" applyFont="1" applyBorder="1" applyAlignment="1">
      <alignment horizontal="center" vertical="center"/>
    </xf>
    <xf numFmtId="0" fontId="6" fillId="0" borderId="121" xfId="0" applyFont="1" applyBorder="1" applyAlignment="1">
      <alignment horizontal="center" vertical="center"/>
    </xf>
    <xf numFmtId="0" fontId="6" fillId="0" borderId="122" xfId="0" applyFont="1" applyBorder="1" applyAlignment="1">
      <alignment horizontal="center" vertical="center"/>
    </xf>
    <xf numFmtId="0" fontId="6" fillId="0" borderId="141" xfId="0" applyFont="1" applyBorder="1" applyAlignment="1">
      <alignment horizontal="center" vertical="center"/>
    </xf>
    <xf numFmtId="0" fontId="6" fillId="0" borderId="142" xfId="0" applyFont="1" applyBorder="1" applyAlignment="1">
      <alignment horizontal="center" vertical="center"/>
    </xf>
    <xf numFmtId="0" fontId="6" fillId="0" borderId="26" xfId="0" applyFont="1" applyBorder="1" applyAlignment="1">
      <alignment horizontal="center" vertical="center"/>
    </xf>
    <xf numFmtId="0" fontId="6" fillId="0" borderId="31" xfId="0" applyFont="1" applyBorder="1" applyAlignment="1">
      <alignment horizontal="center" vertical="center"/>
    </xf>
    <xf numFmtId="0" fontId="99" fillId="0" borderId="0" xfId="0" applyFont="1" applyAlignment="1">
      <alignment horizontal="center" vertical="center" wrapText="1"/>
    </xf>
    <xf numFmtId="0" fontId="5" fillId="0" borderId="166" xfId="0" applyFont="1" applyBorder="1" applyAlignment="1">
      <alignment horizontal="center" vertical="center"/>
    </xf>
    <xf numFmtId="0" fontId="5" fillId="0" borderId="167" xfId="0" applyFont="1" applyBorder="1" applyAlignment="1">
      <alignment horizontal="center" vertical="center"/>
    </xf>
    <xf numFmtId="0" fontId="5" fillId="0" borderId="108" xfId="0" applyFont="1" applyBorder="1" applyAlignment="1">
      <alignment horizontal="center" vertical="center"/>
    </xf>
    <xf numFmtId="0" fontId="5" fillId="0" borderId="14" xfId="0" applyFont="1" applyBorder="1" applyAlignment="1">
      <alignment horizontal="center" vertical="center"/>
    </xf>
    <xf numFmtId="0" fontId="5" fillId="0" borderId="93" xfId="0" applyFont="1" applyBorder="1" applyAlignment="1">
      <alignment horizontal="center" vertical="center"/>
    </xf>
    <xf numFmtId="0" fontId="5" fillId="0" borderId="33" xfId="0" applyFont="1" applyBorder="1" applyAlignment="1">
      <alignment horizontal="center" vertical="center"/>
    </xf>
    <xf numFmtId="0" fontId="10" fillId="0" borderId="41" xfId="0" applyFont="1" applyBorder="1" applyAlignment="1">
      <alignment horizontal="center" vertical="center"/>
    </xf>
    <xf numFmtId="0" fontId="10" fillId="0" borderId="122" xfId="0" applyFont="1" applyBorder="1" applyAlignment="1">
      <alignment horizontal="center" vertical="center"/>
    </xf>
    <xf numFmtId="0" fontId="99" fillId="0" borderId="166" xfId="0" applyFont="1" applyBorder="1" applyAlignment="1">
      <alignment horizontal="center" vertical="center" wrapText="1"/>
    </xf>
    <xf numFmtId="0" fontId="99" fillId="0" borderId="167" xfId="0" applyFont="1" applyBorder="1" applyAlignment="1">
      <alignment horizontal="center" vertical="center" wrapText="1"/>
    </xf>
    <xf numFmtId="0" fontId="99" fillId="0" borderId="108" xfId="0" applyFont="1" applyBorder="1" applyAlignment="1">
      <alignment horizontal="center" vertical="center" wrapText="1"/>
    </xf>
    <xf numFmtId="0" fontId="10" fillId="0" borderId="63" xfId="129" applyFont="1" applyBorder="1" applyAlignment="1">
      <alignment horizontal="center" vertical="center" wrapText="1"/>
    </xf>
    <xf numFmtId="0" fontId="10" fillId="0" borderId="59" xfId="129" applyFont="1" applyBorder="1" applyAlignment="1">
      <alignment horizontal="center" vertical="center" wrapText="1"/>
    </xf>
    <xf numFmtId="0" fontId="7" fillId="0" borderId="0" xfId="0" applyFont="1" applyAlignment="1">
      <alignment horizontal="left" vertical="top" wrapText="1"/>
    </xf>
    <xf numFmtId="0" fontId="10" fillId="0" borderId="71" xfId="129" applyFont="1" applyBorder="1" applyAlignment="1">
      <alignment horizontal="center" vertical="center"/>
    </xf>
    <xf numFmtId="0" fontId="15" fillId="33" borderId="15" xfId="129" applyFill="1" applyBorder="1" applyAlignment="1">
      <alignment horizontal="center" vertical="center"/>
    </xf>
    <xf numFmtId="0" fontId="15" fillId="33" borderId="157" xfId="129" applyFill="1" applyBorder="1" applyAlignment="1">
      <alignment horizontal="center" vertical="center"/>
    </xf>
    <xf numFmtId="0" fontId="10" fillId="0" borderId="39" xfId="129" applyFont="1" applyBorder="1" applyAlignment="1">
      <alignment horizontal="center" vertical="center" wrapText="1"/>
    </xf>
    <xf numFmtId="0" fontId="10" fillId="0" borderId="103" xfId="128" applyFont="1" applyBorder="1" applyAlignment="1">
      <alignment horizontal="center" vertical="center"/>
    </xf>
    <xf numFmtId="0" fontId="10" fillId="0" borderId="95" xfId="128" applyFont="1" applyBorder="1" applyAlignment="1">
      <alignment horizontal="center" vertical="center"/>
    </xf>
    <xf numFmtId="0" fontId="10" fillId="0" borderId="77" xfId="128" applyFont="1" applyBorder="1" applyAlignment="1">
      <alignment horizontal="center" vertical="center"/>
    </xf>
    <xf numFmtId="0" fontId="10" fillId="0" borderId="146" xfId="128" applyFont="1" applyBorder="1" applyAlignment="1">
      <alignment horizontal="center" vertical="center"/>
    </xf>
    <xf numFmtId="0" fontId="10" fillId="0" borderId="57" xfId="128" applyFont="1" applyBorder="1" applyAlignment="1">
      <alignment horizontal="center" vertical="center"/>
    </xf>
    <xf numFmtId="0" fontId="10" fillId="0" borderId="174" xfId="128" applyFont="1" applyBorder="1" applyAlignment="1">
      <alignment horizontal="center" vertical="center"/>
    </xf>
    <xf numFmtId="0" fontId="5" fillId="0" borderId="126" xfId="129" applyFont="1" applyBorder="1" applyAlignment="1">
      <alignment horizontal="center"/>
    </xf>
    <xf numFmtId="0" fontId="5" fillId="0" borderId="12" xfId="129" applyFont="1" applyBorder="1" applyAlignment="1">
      <alignment horizontal="center"/>
    </xf>
    <xf numFmtId="0" fontId="5" fillId="0" borderId="29" xfId="129" applyFont="1" applyBorder="1" applyAlignment="1">
      <alignment horizontal="center"/>
    </xf>
    <xf numFmtId="0" fontId="5" fillId="0" borderId="45" xfId="129" applyFont="1" applyBorder="1" applyAlignment="1">
      <alignment horizontal="center"/>
    </xf>
    <xf numFmtId="0" fontId="10" fillId="0" borderId="158" xfId="129" applyFont="1" applyBorder="1" applyAlignment="1">
      <alignment horizontal="center" vertical="center" wrapText="1"/>
    </xf>
    <xf numFmtId="0" fontId="10" fillId="0" borderId="91" xfId="129" applyFont="1" applyBorder="1" applyAlignment="1">
      <alignment horizontal="center" vertical="center" wrapText="1"/>
    </xf>
    <xf numFmtId="0" fontId="6" fillId="0" borderId="34"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0" fontId="9" fillId="0" borderId="0" xfId="0" applyFont="1" applyAlignment="1">
      <alignment vertical="top"/>
    </xf>
    <xf numFmtId="0" fontId="5" fillId="0" borderId="120" xfId="0" applyFont="1" applyBorder="1" applyAlignment="1">
      <alignment horizontal="left" vertical="center" wrapText="1"/>
    </xf>
    <xf numFmtId="0" fontId="28" fillId="24" borderId="35" xfId="0" applyFont="1" applyFill="1" applyBorder="1" applyAlignment="1">
      <alignment horizontal="center" wrapText="1"/>
    </xf>
    <xf numFmtId="0" fontId="7" fillId="24" borderId="0" xfId="0" applyFont="1" applyFill="1" applyAlignment="1">
      <alignment horizontal="left" vertical="center"/>
    </xf>
    <xf numFmtId="0" fontId="28" fillId="24" borderId="35" xfId="0" applyFont="1" applyFill="1" applyBorder="1" applyAlignment="1">
      <alignment horizontal="center" vertical="center" wrapText="1"/>
    </xf>
    <xf numFmtId="0" fontId="28" fillId="24" borderId="63" xfId="0" applyFont="1" applyFill="1" applyBorder="1" applyAlignment="1">
      <alignment horizontal="center" vertical="center" wrapText="1"/>
    </xf>
    <xf numFmtId="0" fontId="28" fillId="24" borderId="94" xfId="0" applyFont="1" applyFill="1" applyBorder="1" applyAlignment="1">
      <alignment horizontal="center" vertical="center" wrapText="1"/>
    </xf>
    <xf numFmtId="0" fontId="28" fillId="24" borderId="55" xfId="0" applyFont="1" applyFill="1" applyBorder="1" applyAlignment="1">
      <alignment horizontal="center" vertical="center" wrapText="1"/>
    </xf>
    <xf numFmtId="0" fontId="28" fillId="24" borderId="81"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79" xfId="0" applyFont="1" applyFill="1" applyBorder="1" applyAlignment="1">
      <alignment horizontal="center" vertical="center" wrapText="1"/>
    </xf>
    <xf numFmtId="0" fontId="28" fillId="24" borderId="79" xfId="0" applyFont="1" applyFill="1" applyBorder="1" applyAlignment="1">
      <alignment horizontal="center" wrapText="1"/>
    </xf>
    <xf numFmtId="0" fontId="28" fillId="24" borderId="63" xfId="0" applyFont="1" applyFill="1" applyBorder="1" applyAlignment="1">
      <alignment horizontal="center" wrapText="1"/>
    </xf>
    <xf numFmtId="0" fontId="28" fillId="24" borderId="59" xfId="0" applyFont="1" applyFill="1" applyBorder="1" applyAlignment="1">
      <alignment horizontal="center" wrapText="1"/>
    </xf>
    <xf numFmtId="0" fontId="19" fillId="24" borderId="35" xfId="0" applyFont="1" applyFill="1" applyBorder="1" applyAlignment="1">
      <alignment horizontal="center" wrapText="1"/>
    </xf>
    <xf numFmtId="0" fontId="28" fillId="24" borderId="84" xfId="0" applyFont="1" applyFill="1" applyBorder="1" applyAlignment="1">
      <alignment horizontal="center" wrapText="1"/>
    </xf>
    <xf numFmtId="0" fontId="28" fillId="0" borderId="120" xfId="0" applyFont="1" applyBorder="1" applyAlignment="1">
      <alignment horizontal="left" vertical="center" wrapText="1"/>
    </xf>
    <xf numFmtId="0" fontId="21" fillId="24" borderId="34" xfId="93" applyFont="1" applyFill="1" applyBorder="1" applyAlignment="1">
      <alignment horizontal="center" vertical="center"/>
    </xf>
    <xf numFmtId="0" fontId="0" fillId="0" borderId="42" xfId="0" applyBorder="1" applyAlignment="1">
      <alignment horizontal="center" vertical="center"/>
    </xf>
    <xf numFmtId="0" fontId="21" fillId="24" borderId="41" xfId="93" applyFont="1" applyFill="1" applyBorder="1" applyAlignment="1">
      <alignment horizontal="center" vertical="center"/>
    </xf>
    <xf numFmtId="0" fontId="13" fillId="24" borderId="37" xfId="94" applyFont="1" applyFill="1" applyBorder="1" applyAlignment="1">
      <alignment horizontal="center" vertical="center"/>
    </xf>
    <xf numFmtId="0" fontId="0" fillId="0" borderId="14" xfId="0" applyBorder="1"/>
    <xf numFmtId="0" fontId="0" fillId="0" borderId="36" xfId="0" applyBorder="1"/>
    <xf numFmtId="0" fontId="21" fillId="24" borderId="34" xfId="93" applyFont="1" applyFill="1" applyBorder="1" applyAlignment="1">
      <alignment horizontal="center" vertical="center" wrapText="1"/>
    </xf>
    <xf numFmtId="0" fontId="21" fillId="24" borderId="43" xfId="93" applyFont="1" applyFill="1" applyBorder="1" applyAlignment="1">
      <alignment horizontal="center" vertical="center" wrapText="1"/>
    </xf>
    <xf numFmtId="0" fontId="5" fillId="0" borderId="16" xfId="0" applyFont="1" applyBorder="1" applyAlignment="1">
      <alignment horizontal="center" vertical="center" wrapText="1"/>
    </xf>
    <xf numFmtId="0" fontId="5" fillId="0" borderId="130" xfId="0" applyFont="1" applyBorder="1" applyAlignment="1">
      <alignment horizontal="center" vertical="center" wrapText="1"/>
    </xf>
    <xf numFmtId="0" fontId="5" fillId="0" borderId="92" xfId="0" applyFont="1" applyBorder="1" applyAlignment="1">
      <alignment horizontal="center" vertical="center"/>
    </xf>
    <xf numFmtId="0" fontId="3" fillId="0" borderId="35" xfId="0" applyFont="1" applyBorder="1" applyAlignment="1" applyProtection="1">
      <alignment horizontal="center"/>
      <protection locked="0"/>
    </xf>
    <xf numFmtId="0" fontId="3" fillId="0" borderId="35" xfId="0" applyFont="1" applyBorder="1" applyAlignment="1">
      <alignment horizontal="center"/>
    </xf>
    <xf numFmtId="0" fontId="21" fillId="0" borderId="86" xfId="93" applyFont="1" applyBorder="1" applyAlignment="1">
      <alignment horizontal="center" vertical="center" wrapText="1"/>
    </xf>
    <xf numFmtId="0" fontId="21" fillId="0" borderId="88" xfId="93" applyFont="1" applyBorder="1" applyAlignment="1">
      <alignment horizontal="center" vertical="center" wrapText="1"/>
    </xf>
    <xf numFmtId="0" fontId="21" fillId="0" borderId="16" xfId="93" applyFont="1" applyBorder="1" applyAlignment="1">
      <alignment horizontal="center" vertical="center" wrapText="1"/>
    </xf>
    <xf numFmtId="0" fontId="21" fillId="0" borderId="17" xfId="93" applyFont="1" applyBorder="1" applyAlignment="1">
      <alignment horizontal="center" vertical="center" wrapText="1"/>
    </xf>
    <xf numFmtId="0" fontId="21" fillId="0" borderId="71" xfId="93" applyFont="1" applyBorder="1" applyAlignment="1">
      <alignment horizontal="center" vertical="center" wrapText="1"/>
    </xf>
    <xf numFmtId="0" fontId="21" fillId="0" borderId="117" xfId="93" applyFont="1" applyBorder="1" applyAlignment="1">
      <alignment horizontal="center" vertical="center" wrapText="1"/>
    </xf>
    <xf numFmtId="0" fontId="21" fillId="0" borderId="34" xfId="94" applyFont="1" applyBorder="1" applyAlignment="1">
      <alignment horizontal="center" vertical="center"/>
    </xf>
    <xf numFmtId="0" fontId="0" fillId="0" borderId="43" xfId="0" applyBorder="1" applyAlignment="1">
      <alignment horizontal="center" vertical="center"/>
    </xf>
    <xf numFmtId="0" fontId="21" fillId="0" borderId="34" xfId="94" applyFont="1" applyBorder="1" applyAlignment="1">
      <alignment horizontal="center" vertical="center" wrapText="1"/>
    </xf>
    <xf numFmtId="0" fontId="0" fillId="0" borderId="42" xfId="0" applyBorder="1" applyAlignment="1">
      <alignment horizontal="center" vertical="center" wrapText="1"/>
    </xf>
    <xf numFmtId="0" fontId="21" fillId="0" borderId="16" xfId="94" applyFont="1" applyBorder="1" applyAlignment="1">
      <alignment horizontal="center" vertical="center" wrapText="1"/>
    </xf>
    <xf numFmtId="0" fontId="0" fillId="0" borderId="17" xfId="0" applyBorder="1" applyAlignment="1">
      <alignment horizontal="center" vertical="center" wrapText="1"/>
    </xf>
    <xf numFmtId="0" fontId="21" fillId="0" borderId="86" xfId="94" applyFont="1" applyBorder="1" applyAlignment="1">
      <alignment horizontal="center" vertical="center" wrapText="1"/>
    </xf>
    <xf numFmtId="0" fontId="21" fillId="0" borderId="88" xfId="94" applyFont="1" applyBorder="1" applyAlignment="1">
      <alignment horizontal="center" vertical="center" wrapText="1"/>
    </xf>
    <xf numFmtId="0" fontId="21" fillId="0" borderId="17" xfId="94" applyFont="1" applyBorder="1" applyAlignment="1">
      <alignment horizontal="center" vertical="center" wrapText="1"/>
    </xf>
    <xf numFmtId="0" fontId="21" fillId="0" borderId="86" xfId="94" applyFont="1" applyBorder="1" applyAlignment="1">
      <alignment horizontal="center" vertical="center"/>
    </xf>
    <xf numFmtId="0" fontId="21" fillId="0" borderId="71" xfId="94" applyFont="1" applyBorder="1" applyAlignment="1">
      <alignment horizontal="center" vertical="center"/>
    </xf>
    <xf numFmtId="0" fontId="6" fillId="0" borderId="34" xfId="95" applyFont="1" applyBorder="1" applyAlignment="1">
      <alignment horizontal="center" vertical="center"/>
    </xf>
    <xf numFmtId="0" fontId="6" fillId="0" borderId="42" xfId="95" applyFont="1" applyBorder="1" applyAlignment="1">
      <alignment horizontal="center" vertical="center"/>
    </xf>
    <xf numFmtId="0" fontId="6" fillId="0" borderId="34" xfId="96" applyFont="1" applyBorder="1" applyAlignment="1">
      <alignment horizontal="center" vertical="center"/>
    </xf>
    <xf numFmtId="0" fontId="6" fillId="0" borderId="43" xfId="96" applyFont="1" applyBorder="1" applyAlignment="1">
      <alignment horizontal="center" vertical="center"/>
    </xf>
    <xf numFmtId="0" fontId="6" fillId="0" borderId="42" xfId="96" applyFont="1" applyBorder="1" applyAlignment="1">
      <alignment horizontal="center" vertical="center"/>
    </xf>
    <xf numFmtId="0" fontId="16" fillId="0" borderId="172" xfId="97" applyFont="1" applyBorder="1" applyAlignment="1">
      <alignment horizontal="center" vertical="center" wrapText="1"/>
    </xf>
    <xf numFmtId="0" fontId="16" fillId="0" borderId="24" xfId="97" applyFont="1" applyBorder="1" applyAlignment="1">
      <alignment horizontal="center" vertical="center" wrapText="1"/>
    </xf>
    <xf numFmtId="0" fontId="59" fillId="0" borderId="0" xfId="0" applyFont="1" applyAlignment="1">
      <alignment horizontal="center" wrapText="1"/>
    </xf>
    <xf numFmtId="0" fontId="59" fillId="0" borderId="120" xfId="0" applyFont="1" applyBorder="1" applyAlignment="1">
      <alignment horizontal="center" wrapText="1"/>
    </xf>
    <xf numFmtId="0" fontId="16" fillId="0" borderId="86" xfId="98" applyFont="1" applyBorder="1" applyAlignment="1">
      <alignment horizontal="center" vertical="center" wrapText="1"/>
    </xf>
    <xf numFmtId="0" fontId="16" fillId="0" borderId="88" xfId="98" applyFont="1" applyBorder="1" applyAlignment="1">
      <alignment horizontal="center" vertical="center" wrapText="1"/>
    </xf>
    <xf numFmtId="0" fontId="97" fillId="0" borderId="16" xfId="0" applyFont="1" applyBorder="1" applyAlignment="1">
      <alignment horizontal="center" vertical="center" wrapText="1"/>
    </xf>
    <xf numFmtId="0" fontId="0" fillId="0" borderId="17" xfId="0" applyBorder="1" applyAlignment="1">
      <alignment vertical="center" wrapText="1"/>
    </xf>
    <xf numFmtId="0" fontId="17" fillId="0" borderId="16" xfId="98" applyFont="1" applyBorder="1" applyAlignment="1">
      <alignment horizontal="center" vertical="center" wrapText="1"/>
    </xf>
    <xf numFmtId="0" fontId="16" fillId="0" borderId="86" xfId="98" applyFont="1" applyBorder="1" applyAlignment="1" applyProtection="1">
      <alignment horizontal="center" vertical="center" wrapText="1"/>
      <protection locked="0"/>
    </xf>
    <xf numFmtId="0" fontId="0" fillId="0" borderId="88" xfId="0" applyBorder="1"/>
    <xf numFmtId="0" fontId="16" fillId="0" borderId="16" xfId="98" applyFont="1" applyBorder="1" applyAlignment="1">
      <alignment horizontal="center" vertical="center" wrapText="1"/>
    </xf>
    <xf numFmtId="0" fontId="28" fillId="0" borderId="0" xfId="0" applyFont="1" applyAlignment="1">
      <alignment horizontal="left" vertical="center" wrapText="1"/>
    </xf>
    <xf numFmtId="0" fontId="6" fillId="32" borderId="159" xfId="0" applyFont="1" applyFill="1" applyBorder="1" applyAlignment="1">
      <alignment horizontal="center" vertical="top" wrapText="1"/>
    </xf>
    <xf numFmtId="0" fontId="6" fillId="32" borderId="163" xfId="0" applyFont="1" applyFill="1" applyBorder="1" applyAlignment="1">
      <alignment horizontal="center" vertical="top" wrapText="1"/>
    </xf>
    <xf numFmtId="0" fontId="160" fillId="0" borderId="20" xfId="0" applyFont="1" applyBorder="1" applyAlignment="1">
      <alignment horizontal="left" vertical="center" wrapText="1"/>
    </xf>
    <xf numFmtId="0" fontId="160" fillId="0" borderId="0" xfId="0" applyFont="1" applyAlignment="1">
      <alignment horizontal="left" vertical="center" wrapText="1"/>
    </xf>
    <xf numFmtId="0" fontId="123" fillId="0" borderId="167" xfId="0" applyFont="1" applyBorder="1" applyAlignment="1">
      <alignment horizontal="center"/>
    </xf>
    <xf numFmtId="0" fontId="0" fillId="0" borderId="161" xfId="0" applyBorder="1" applyAlignment="1" applyProtection="1">
      <alignment vertical="top" wrapText="1"/>
      <protection locked="0"/>
    </xf>
    <xf numFmtId="0" fontId="0" fillId="0" borderId="154" xfId="0" applyBorder="1" applyAlignment="1" applyProtection="1">
      <alignment vertical="top" wrapText="1"/>
      <protection locked="0"/>
    </xf>
    <xf numFmtId="0" fontId="0" fillId="0" borderId="73" xfId="0" applyBorder="1" applyAlignment="1" applyProtection="1">
      <alignment vertical="top" wrapText="1"/>
      <protection locked="0"/>
    </xf>
    <xf numFmtId="0" fontId="3" fillId="0" borderId="0" xfId="0" applyFont="1" applyAlignment="1">
      <alignment horizontal="left" wrapText="1"/>
    </xf>
    <xf numFmtId="0" fontId="126" fillId="0" borderId="120" xfId="0" applyFont="1" applyBorder="1" applyAlignment="1">
      <alignment horizontal="center" vertical="center" wrapText="1"/>
    </xf>
    <xf numFmtId="0" fontId="31" fillId="0" borderId="45" xfId="0" applyFont="1" applyBorder="1" applyAlignment="1">
      <alignment horizontal="center"/>
    </xf>
    <xf numFmtId="0" fontId="31" fillId="0" borderId="12" xfId="0" applyFont="1" applyBorder="1" applyAlignment="1">
      <alignment horizontal="center"/>
    </xf>
    <xf numFmtId="0" fontId="31" fillId="0" borderId="29" xfId="0" applyFont="1" applyBorder="1" applyAlignment="1">
      <alignment horizontal="center"/>
    </xf>
    <xf numFmtId="0" fontId="2" fillId="0" borderId="148" xfId="70" applyFont="1" applyBorder="1" applyAlignment="1">
      <alignment horizontal="center" vertical="center" wrapText="1"/>
    </xf>
    <xf numFmtId="0" fontId="6" fillId="0" borderId="159" xfId="70" applyFont="1" applyBorder="1" applyAlignment="1">
      <alignment wrapText="1"/>
    </xf>
    <xf numFmtId="0" fontId="6" fillId="0" borderId="163" xfId="70" applyFont="1" applyBorder="1" applyAlignment="1">
      <alignment wrapText="1"/>
    </xf>
    <xf numFmtId="0" fontId="2" fillId="0" borderId="159" xfId="70" applyFont="1" applyBorder="1" applyAlignment="1">
      <alignment horizontal="center" vertical="center" wrapText="1"/>
    </xf>
    <xf numFmtId="0" fontId="2" fillId="0" borderId="163" xfId="70" applyFont="1" applyBorder="1" applyAlignment="1">
      <alignment horizontal="center" vertical="center" wrapText="1"/>
    </xf>
    <xf numFmtId="0" fontId="3" fillId="0" borderId="159" xfId="70" applyFont="1" applyBorder="1" applyAlignment="1">
      <alignment wrapText="1"/>
    </xf>
    <xf numFmtId="0" fontId="3" fillId="0" borderId="163" xfId="70" applyFont="1" applyBorder="1" applyAlignment="1">
      <alignment wrapText="1"/>
    </xf>
    <xf numFmtId="0" fontId="0" fillId="0" borderId="159" xfId="0" applyBorder="1" applyAlignment="1">
      <alignment horizontal="center" vertical="center" wrapText="1"/>
    </xf>
    <xf numFmtId="0" fontId="0" fillId="0" borderId="163" xfId="0" applyBorder="1" applyAlignment="1">
      <alignment horizontal="center" vertical="center" wrapText="1"/>
    </xf>
    <xf numFmtId="164" fontId="2" fillId="0" borderId="148" xfId="91" applyNumberFormat="1" applyFont="1" applyBorder="1" applyAlignment="1">
      <alignment horizontal="center" vertical="center" wrapText="1"/>
    </xf>
    <xf numFmtId="164" fontId="2" fillId="0" borderId="163" xfId="91" applyNumberFormat="1" applyFont="1" applyBorder="1" applyAlignment="1">
      <alignment horizontal="center" vertical="center" wrapText="1"/>
    </xf>
    <xf numFmtId="0" fontId="128" fillId="0" borderId="63" xfId="76" applyFont="1" applyBorder="1" applyAlignment="1" applyProtection="1">
      <alignment horizontal="center" vertical="center" wrapText="1"/>
      <protection locked="0"/>
    </xf>
    <xf numFmtId="0" fontId="128" fillId="0" borderId="87" xfId="76" applyFont="1" applyBorder="1" applyAlignment="1" applyProtection="1">
      <alignment horizontal="center" vertical="center" wrapText="1"/>
      <protection locked="0"/>
    </xf>
    <xf numFmtId="0" fontId="128" fillId="0" borderId="59" xfId="76" applyFont="1" applyBorder="1" applyAlignment="1" applyProtection="1">
      <alignment horizontal="center" vertical="center" wrapText="1"/>
      <protection locked="0"/>
    </xf>
    <xf numFmtId="49" fontId="128" fillId="0" borderId="63" xfId="76" applyNumberFormat="1" applyFont="1" applyBorder="1" applyAlignment="1" applyProtection="1">
      <alignment horizontal="center" vertical="center" wrapText="1"/>
      <protection locked="0"/>
    </xf>
    <xf numFmtId="49" fontId="128" fillId="0" borderId="87" xfId="76" applyNumberFormat="1" applyFont="1" applyBorder="1" applyAlignment="1" applyProtection="1">
      <alignment horizontal="center" vertical="center" wrapText="1"/>
      <protection locked="0"/>
    </xf>
    <xf numFmtId="49" fontId="128" fillId="0" borderId="59" xfId="76" applyNumberFormat="1" applyFont="1" applyBorder="1" applyAlignment="1" applyProtection="1">
      <alignment horizontal="center" vertical="center" wrapText="1"/>
      <protection locked="0"/>
    </xf>
    <xf numFmtId="0" fontId="0" fillId="0" borderId="0" xfId="0"/>
    <xf numFmtId="0" fontId="161" fillId="0" borderId="120" xfId="0" applyFont="1" applyBorder="1" applyAlignment="1">
      <alignment horizontal="right" vertical="top" wrapText="1"/>
    </xf>
    <xf numFmtId="0" fontId="162" fillId="0" borderId="120" xfId="0" applyFont="1" applyBorder="1" applyAlignment="1">
      <alignment horizontal="right"/>
    </xf>
    <xf numFmtId="3" fontId="15" fillId="0" borderId="125" xfId="0" applyNumberFormat="1" applyFont="1" applyBorder="1" applyProtection="1">
      <protection locked="0"/>
    </xf>
    <xf numFmtId="3" fontId="15" fillId="0" borderId="35" xfId="0" applyNumberFormat="1" applyFont="1" applyBorder="1" applyProtection="1">
      <protection locked="0"/>
    </xf>
    <xf numFmtId="0" fontId="15" fillId="0" borderId="78" xfId="0" applyFont="1" applyBorder="1" applyAlignment="1" applyProtection="1">
      <alignment wrapText="1"/>
      <protection locked="0"/>
    </xf>
    <xf numFmtId="0" fontId="15" fillId="0" borderId="40" xfId="0" applyFont="1" applyBorder="1" applyAlignment="1" applyProtection="1">
      <alignment wrapText="1"/>
      <protection locked="0"/>
    </xf>
    <xf numFmtId="0" fontId="5" fillId="0" borderId="63" xfId="0" applyFont="1" applyBorder="1" applyAlignment="1">
      <alignment horizontal="center"/>
    </xf>
    <xf numFmtId="0" fontId="5" fillId="0" borderId="87" xfId="0" applyFont="1" applyBorder="1" applyAlignment="1">
      <alignment horizontal="center"/>
    </xf>
    <xf numFmtId="0" fontId="5" fillId="0" borderId="59" xfId="0" applyFont="1" applyBorder="1" applyAlignment="1">
      <alignment horizontal="center"/>
    </xf>
    <xf numFmtId="0" fontId="22" fillId="0" borderId="63" xfId="0" applyFont="1" applyBorder="1" applyAlignment="1">
      <alignment horizontal="center" wrapText="1"/>
    </xf>
    <xf numFmtId="0" fontId="22" fillId="0" borderId="87" xfId="0" applyFont="1" applyBorder="1" applyAlignment="1">
      <alignment horizontal="center" wrapText="1"/>
    </xf>
    <xf numFmtId="0" fontId="22" fillId="0" borderId="59" xfId="0" applyFont="1" applyBorder="1" applyAlignment="1">
      <alignment horizontal="center" wrapText="1"/>
    </xf>
    <xf numFmtId="0" fontId="22" fillId="0" borderId="63" xfId="0" applyFont="1" applyBorder="1" applyAlignment="1">
      <alignment horizontal="center"/>
    </xf>
    <xf numFmtId="0" fontId="22" fillId="0" borderId="87" xfId="0" applyFont="1" applyBorder="1" applyAlignment="1">
      <alignment horizontal="center"/>
    </xf>
    <xf numFmtId="0" fontId="22" fillId="0" borderId="59" xfId="0" applyFont="1" applyBorder="1" applyAlignment="1">
      <alignment horizontal="center"/>
    </xf>
    <xf numFmtId="0" fontId="59" fillId="0" borderId="0" xfId="0" applyFont="1" applyAlignment="1">
      <alignment horizontal="center" vertical="center" wrapText="1"/>
    </xf>
    <xf numFmtId="172" fontId="133" fillId="0" borderId="123" xfId="0" applyNumberFormat="1" applyFont="1" applyBorder="1" applyAlignment="1">
      <alignment horizontal="center" vertical="center" wrapText="1"/>
    </xf>
    <xf numFmtId="0" fontId="23" fillId="0" borderId="166" xfId="0" applyFont="1" applyBorder="1" applyAlignment="1">
      <alignment horizontal="left" wrapText="1"/>
    </xf>
    <xf numFmtId="0" fontId="23" fillId="0" borderId="167" xfId="0" applyFont="1" applyBorder="1" applyAlignment="1">
      <alignment horizontal="left" wrapText="1"/>
    </xf>
    <xf numFmtId="0" fontId="23" fillId="0" borderId="108" xfId="0" applyFont="1" applyBorder="1" applyAlignment="1">
      <alignment horizontal="left" wrapText="1"/>
    </xf>
    <xf numFmtId="10" fontId="3" fillId="0" borderId="173" xfId="103" applyNumberFormat="1" applyFont="1" applyBorder="1" applyAlignment="1">
      <alignment horizontal="center" vertical="center" wrapText="1"/>
    </xf>
    <xf numFmtId="10" fontId="3" fillId="0" borderId="159" xfId="103" applyNumberFormat="1" applyFont="1" applyBorder="1" applyAlignment="1">
      <alignment horizontal="center" vertical="center" wrapText="1"/>
    </xf>
    <xf numFmtId="10" fontId="3" fillId="0" borderId="163" xfId="103" applyNumberFormat="1" applyFont="1" applyBorder="1" applyAlignment="1">
      <alignment horizontal="center" vertical="center" wrapText="1"/>
    </xf>
    <xf numFmtId="0" fontId="10" fillId="0" borderId="161" xfId="0" applyFont="1" applyBorder="1" applyAlignment="1">
      <alignment horizontal="right"/>
    </xf>
    <xf numFmtId="0" fontId="10" fillId="0" borderId="154" xfId="0" applyFont="1" applyBorder="1" applyAlignment="1">
      <alignment horizontal="right"/>
    </xf>
    <xf numFmtId="0" fontId="10" fillId="0" borderId="162" xfId="0" applyFont="1" applyBorder="1" applyAlignment="1">
      <alignment horizontal="right"/>
    </xf>
    <xf numFmtId="3" fontId="38" fillId="0" borderId="152" xfId="0" applyNumberFormat="1" applyFont="1" applyBorder="1" applyAlignment="1">
      <alignment horizontal="center"/>
    </xf>
    <xf numFmtId="0" fontId="56" fillId="0" borderId="167" xfId="0" applyFont="1" applyBorder="1"/>
    <xf numFmtId="0" fontId="56" fillId="0" borderId="108" xfId="0" applyFont="1" applyBorder="1"/>
    <xf numFmtId="0" fontId="10" fillId="0" borderId="166" xfId="0" applyFont="1" applyBorder="1" applyAlignment="1">
      <alignment horizontal="center" vertical="center" wrapText="1"/>
    </xf>
    <xf numFmtId="0" fontId="10" fillId="0" borderId="167" xfId="0" applyFont="1" applyBorder="1" applyAlignment="1">
      <alignment horizontal="center" vertical="center" wrapText="1"/>
    </xf>
    <xf numFmtId="0" fontId="10" fillId="0" borderId="108" xfId="0" applyFont="1" applyBorder="1" applyAlignment="1">
      <alignment horizontal="center" vertical="center" wrapText="1"/>
    </xf>
    <xf numFmtId="0" fontId="14" fillId="0" borderId="10" xfId="0" applyFont="1" applyBorder="1" applyAlignment="1">
      <alignment horizontal="center" vertical="center"/>
    </xf>
    <xf numFmtId="0" fontId="14" fillId="0" borderId="92" xfId="0" applyFont="1" applyBorder="1" applyAlignment="1">
      <alignment horizontal="center" vertical="center"/>
    </xf>
    <xf numFmtId="0" fontId="14" fillId="0" borderId="78" xfId="0" applyFont="1" applyBorder="1" applyAlignment="1">
      <alignment horizontal="center" vertical="center"/>
    </xf>
    <xf numFmtId="0" fontId="14" fillId="0" borderId="20" xfId="0" applyFont="1" applyBorder="1" applyAlignment="1">
      <alignment horizontal="center" vertical="center"/>
    </xf>
    <xf numFmtId="0" fontId="14" fillId="0" borderId="0" xfId="0" applyFont="1" applyAlignment="1">
      <alignment horizontal="center" vertical="center"/>
    </xf>
    <xf numFmtId="0" fontId="14" fillId="0" borderId="40" xfId="0" applyFont="1" applyBorder="1" applyAlignment="1">
      <alignment horizontal="center" vertical="center"/>
    </xf>
    <xf numFmtId="0" fontId="14" fillId="0" borderId="15" xfId="0" applyFont="1" applyBorder="1" applyAlignment="1">
      <alignment horizontal="center" vertical="center"/>
    </xf>
    <xf numFmtId="0" fontId="14" fillId="0" borderId="120" xfId="0" applyFont="1" applyBorder="1" applyAlignment="1">
      <alignment horizontal="center" vertical="center"/>
    </xf>
    <xf numFmtId="0" fontId="14" fillId="0" borderId="157" xfId="0" applyFont="1" applyBorder="1" applyAlignment="1">
      <alignment horizontal="center" vertical="center"/>
    </xf>
    <xf numFmtId="0" fontId="14" fillId="0" borderId="166" xfId="0" applyFont="1" applyBorder="1" applyAlignment="1">
      <alignment horizontal="center" vertical="center" wrapText="1"/>
    </xf>
    <xf numFmtId="0" fontId="14" fillId="0" borderId="167" xfId="0" applyFont="1" applyBorder="1" applyAlignment="1">
      <alignment horizontal="center" vertical="center" wrapText="1"/>
    </xf>
    <xf numFmtId="0" fontId="14" fillId="0" borderId="108" xfId="0" applyFont="1" applyBorder="1" applyAlignment="1">
      <alignment horizontal="center" vertical="center" wrapText="1"/>
    </xf>
    <xf numFmtId="0" fontId="14" fillId="0" borderId="166" xfId="0" applyFont="1" applyBorder="1" applyAlignment="1">
      <alignment horizontal="center" vertical="center"/>
    </xf>
    <xf numFmtId="0" fontId="30" fillId="0" borderId="167" xfId="0" applyFont="1" applyBorder="1" applyAlignment="1">
      <alignment horizontal="center" vertical="center"/>
    </xf>
    <xf numFmtId="0" fontId="30" fillId="0" borderId="108" xfId="0" applyFont="1" applyBorder="1" applyAlignment="1">
      <alignment horizontal="center" vertical="center"/>
    </xf>
    <xf numFmtId="0" fontId="30" fillId="0" borderId="92" xfId="0" applyFont="1" applyBorder="1" applyAlignment="1">
      <alignment horizontal="center" vertical="center"/>
    </xf>
    <xf numFmtId="0" fontId="30" fillId="0" borderId="78" xfId="0" applyFont="1" applyBorder="1" applyAlignment="1">
      <alignment horizontal="center" vertical="center"/>
    </xf>
    <xf numFmtId="0" fontId="30" fillId="0" borderId="20" xfId="0" applyFont="1" applyBorder="1" applyAlignment="1">
      <alignment horizontal="center" vertical="center"/>
    </xf>
    <xf numFmtId="0" fontId="30" fillId="0" borderId="0" xfId="0" applyFont="1" applyAlignment="1">
      <alignment horizontal="center" vertical="center"/>
    </xf>
    <xf numFmtId="0" fontId="30" fillId="0" borderId="40" xfId="0" applyFont="1" applyBorder="1" applyAlignment="1">
      <alignment horizontal="center" vertical="center"/>
    </xf>
    <xf numFmtId="0" fontId="30" fillId="0" borderId="15" xfId="0" applyFont="1" applyBorder="1" applyAlignment="1">
      <alignment horizontal="center" vertical="center"/>
    </xf>
    <xf numFmtId="0" fontId="30" fillId="0" borderId="120" xfId="0" applyFont="1" applyBorder="1" applyAlignment="1">
      <alignment horizontal="center" vertical="center"/>
    </xf>
    <xf numFmtId="0" fontId="30" fillId="0" borderId="157" xfId="0" applyFont="1" applyBorder="1" applyAlignment="1">
      <alignment horizontal="center" vertical="center"/>
    </xf>
    <xf numFmtId="0" fontId="14" fillId="0" borderId="167" xfId="0" applyFont="1" applyBorder="1" applyAlignment="1">
      <alignment horizontal="center" vertical="center"/>
    </xf>
    <xf numFmtId="0" fontId="14" fillId="0" borderId="108" xfId="0" applyFont="1" applyBorder="1" applyAlignment="1">
      <alignment horizontal="center" vertical="center"/>
    </xf>
    <xf numFmtId="0" fontId="138" fillId="29" borderId="0" xfId="0" applyFont="1" applyFill="1" applyAlignment="1">
      <alignment horizontal="center"/>
    </xf>
    <xf numFmtId="0" fontId="7" fillId="0" borderId="0" xfId="0" applyFont="1" applyAlignment="1">
      <alignment horizontal="center" vertical="top" wrapText="1"/>
    </xf>
    <xf numFmtId="0" fontId="9" fillId="0" borderId="0" xfId="0" applyFont="1" applyAlignment="1">
      <alignment horizontal="left" wrapText="1"/>
    </xf>
    <xf numFmtId="0" fontId="23" fillId="24" borderId="10" xfId="0" applyFont="1" applyFill="1" applyBorder="1" applyAlignment="1">
      <alignment horizontal="center" vertical="center" wrapText="1"/>
    </xf>
    <xf numFmtId="0" fontId="23" fillId="24" borderId="92" xfId="0" applyFont="1" applyFill="1" applyBorder="1" applyAlignment="1">
      <alignment horizontal="center" vertical="center" wrapText="1"/>
    </xf>
    <xf numFmtId="0" fontId="23" fillId="24" borderId="78" xfId="0" applyFont="1" applyFill="1" applyBorder="1" applyAlignment="1">
      <alignment horizontal="center" vertical="center" wrapText="1"/>
    </xf>
    <xf numFmtId="0" fontId="23" fillId="24" borderId="103" xfId="0" applyFont="1" applyFill="1" applyBorder="1" applyAlignment="1">
      <alignment horizontal="center" vertical="center" wrapText="1"/>
    </xf>
    <xf numFmtId="0" fontId="23" fillId="24" borderId="146" xfId="0" applyFont="1" applyFill="1" applyBorder="1" applyAlignment="1">
      <alignment horizontal="center" vertical="center" wrapText="1"/>
    </xf>
    <xf numFmtId="0" fontId="23" fillId="24" borderId="147" xfId="0" applyFont="1" applyFill="1" applyBorder="1" applyAlignment="1">
      <alignment horizontal="center" vertical="center" wrapText="1"/>
    </xf>
    <xf numFmtId="0" fontId="23" fillId="0" borderId="166" xfId="0" applyFont="1" applyBorder="1" applyAlignment="1">
      <alignment horizontal="left" vertical="top" wrapText="1"/>
    </xf>
    <xf numFmtId="0" fontId="23" fillId="0" borderId="167" xfId="0" applyFont="1" applyBorder="1" applyAlignment="1">
      <alignment horizontal="left" vertical="top" wrapText="1"/>
    </xf>
    <xf numFmtId="0" fontId="23" fillId="0" borderId="108" xfId="0" applyFont="1" applyBorder="1" applyAlignment="1">
      <alignment horizontal="left" vertical="top" wrapText="1"/>
    </xf>
    <xf numFmtId="0" fontId="2" fillId="0" borderId="120" xfId="0" applyFont="1" applyBorder="1" applyAlignment="1">
      <alignment horizontal="center" vertical="top"/>
    </xf>
    <xf numFmtId="0" fontId="23" fillId="0" borderId="80" xfId="0" applyFont="1" applyBorder="1" applyAlignment="1">
      <alignment horizontal="center" wrapText="1"/>
    </xf>
  </cellXfs>
  <cellStyles count="130">
    <cellStyle name="20% - Colore 1" xfId="1" builtinId="30" customBuiltin="1"/>
    <cellStyle name="20% - Colore 1 2" xfId="2" xr:uid="{00000000-0005-0000-0000-000001000000}"/>
    <cellStyle name="20% - Colore 2" xfId="3" builtinId="34" customBuiltin="1"/>
    <cellStyle name="20% - Colore 2 2" xfId="4" xr:uid="{00000000-0005-0000-0000-000003000000}"/>
    <cellStyle name="20% - Colore 3" xfId="5" builtinId="38" customBuiltin="1"/>
    <cellStyle name="20% - Colore 3 2" xfId="6" xr:uid="{00000000-0005-0000-0000-000005000000}"/>
    <cellStyle name="20% - Colore 4" xfId="7" builtinId="42" customBuiltin="1"/>
    <cellStyle name="20% - Colore 4 2" xfId="8" xr:uid="{00000000-0005-0000-0000-000007000000}"/>
    <cellStyle name="20% - Colore 5" xfId="9" builtinId="46" customBuiltin="1"/>
    <cellStyle name="20% - Colore 5 2" xfId="10" xr:uid="{00000000-0005-0000-0000-000009000000}"/>
    <cellStyle name="20% - Colore 6" xfId="11" builtinId="50" customBuiltin="1"/>
    <cellStyle name="20% - Colore 6 2" xfId="12" xr:uid="{00000000-0005-0000-0000-00000B000000}"/>
    <cellStyle name="40% - Colore 1" xfId="13" builtinId="31" customBuiltin="1"/>
    <cellStyle name="40% - Colore 1 2" xfId="14" xr:uid="{00000000-0005-0000-0000-00000D000000}"/>
    <cellStyle name="40% - Colore 2" xfId="15" builtinId="35" customBuiltin="1"/>
    <cellStyle name="40% - Colore 2 2" xfId="16" xr:uid="{00000000-0005-0000-0000-00000F000000}"/>
    <cellStyle name="40% - Colore 3" xfId="17" builtinId="39" customBuiltin="1"/>
    <cellStyle name="40% - Colore 3 2" xfId="18" xr:uid="{00000000-0005-0000-0000-000011000000}"/>
    <cellStyle name="40% - Colore 4" xfId="19" builtinId="43" customBuiltin="1"/>
    <cellStyle name="40% - Colore 4 2" xfId="20" xr:uid="{00000000-0005-0000-0000-000013000000}"/>
    <cellStyle name="40% - Colore 5" xfId="21" builtinId="47" customBuiltin="1"/>
    <cellStyle name="40% - Colore 5 2" xfId="22" xr:uid="{00000000-0005-0000-0000-000015000000}"/>
    <cellStyle name="40% - Colore 6" xfId="23" builtinId="51" customBuiltin="1"/>
    <cellStyle name="40% - Colore 6 2" xfId="24" xr:uid="{00000000-0005-0000-0000-000017000000}"/>
    <cellStyle name="60% - Colore 1" xfId="25" builtinId="32" customBuiltin="1"/>
    <cellStyle name="60% - Colore 1 2" xfId="26" xr:uid="{00000000-0005-0000-0000-000019000000}"/>
    <cellStyle name="60% - Colore 2" xfId="27" builtinId="36" customBuiltin="1"/>
    <cellStyle name="60% - Colore 2 2" xfId="28" xr:uid="{00000000-0005-0000-0000-00001B000000}"/>
    <cellStyle name="60% - Colore 3" xfId="29" builtinId="40" customBuiltin="1"/>
    <cellStyle name="60% - Colore 3 2" xfId="30" xr:uid="{00000000-0005-0000-0000-00001D000000}"/>
    <cellStyle name="60% - Colore 4" xfId="31" builtinId="44" customBuiltin="1"/>
    <cellStyle name="60% - Colore 4 2" xfId="32" xr:uid="{00000000-0005-0000-0000-00001F000000}"/>
    <cellStyle name="60% - Colore 5" xfId="33" builtinId="48" customBuiltin="1"/>
    <cellStyle name="60% - Colore 5 2" xfId="34" xr:uid="{00000000-0005-0000-0000-000021000000}"/>
    <cellStyle name="60% - Colore 6" xfId="35" builtinId="52" customBuiltin="1"/>
    <cellStyle name="60% - Colore 6 2" xfId="36" xr:uid="{00000000-0005-0000-0000-000023000000}"/>
    <cellStyle name="Calcolo" xfId="37" builtinId="22" customBuiltin="1"/>
    <cellStyle name="Calcolo 2" xfId="38" xr:uid="{00000000-0005-0000-0000-000025000000}"/>
    <cellStyle name="Cella collegata" xfId="39" builtinId="24" customBuiltin="1"/>
    <cellStyle name="Cella collegata 2" xfId="40" xr:uid="{00000000-0005-0000-0000-000027000000}"/>
    <cellStyle name="Cella da controllare" xfId="41" builtinId="23" customBuiltin="1"/>
    <cellStyle name="Cella da controllare 2" xfId="42" xr:uid="{00000000-0005-0000-0000-000029000000}"/>
    <cellStyle name="Collegamento ipertestuale" xfId="43" builtinId="8"/>
    <cellStyle name="Colore 1" xfId="44" builtinId="29" customBuiltin="1"/>
    <cellStyle name="Colore 1 2" xfId="45" xr:uid="{00000000-0005-0000-0000-00002C000000}"/>
    <cellStyle name="Colore 2" xfId="46" builtinId="33" customBuiltin="1"/>
    <cellStyle name="Colore 2 2" xfId="47" xr:uid="{00000000-0005-0000-0000-00002E000000}"/>
    <cellStyle name="Colore 3" xfId="48" builtinId="37" customBuiltin="1"/>
    <cellStyle name="Colore 3 2" xfId="49" xr:uid="{00000000-0005-0000-0000-000030000000}"/>
    <cellStyle name="Colore 4" xfId="50" builtinId="41" customBuiltin="1"/>
    <cellStyle name="Colore 4 2" xfId="51" xr:uid="{00000000-0005-0000-0000-000032000000}"/>
    <cellStyle name="Colore 5" xfId="52" builtinId="45" customBuiltin="1"/>
    <cellStyle name="Colore 5 2" xfId="53" xr:uid="{00000000-0005-0000-0000-000034000000}"/>
    <cellStyle name="Colore 6" xfId="54" builtinId="49" customBuiltin="1"/>
    <cellStyle name="Colore 6 2" xfId="55" xr:uid="{00000000-0005-0000-0000-000036000000}"/>
    <cellStyle name="Euro" xfId="56" xr:uid="{00000000-0005-0000-0000-000037000000}"/>
    <cellStyle name="Input" xfId="57" builtinId="20" customBuiltin="1"/>
    <cellStyle name="Input 2" xfId="58" xr:uid="{00000000-0005-0000-0000-000039000000}"/>
    <cellStyle name="Logico" xfId="59" xr:uid="{00000000-0005-0000-0000-00003A000000}"/>
    <cellStyle name="Migliaia" xfId="60" builtinId="3"/>
    <cellStyle name="Migliaia (0)_3tabella15" xfId="61" xr:uid="{00000000-0005-0000-0000-00003C000000}"/>
    <cellStyle name="Migliaia 2" xfId="62" xr:uid="{00000000-0005-0000-0000-00003D000000}"/>
    <cellStyle name="Migliaia 2 2" xfId="63" xr:uid="{00000000-0005-0000-0000-00003E000000}"/>
    <cellStyle name="Migliaia 3" xfId="64" xr:uid="{00000000-0005-0000-0000-00003F000000}"/>
    <cellStyle name="Migliaia 4" xfId="65" xr:uid="{00000000-0005-0000-0000-000040000000}"/>
    <cellStyle name="Migliaia 5" xfId="66" xr:uid="{00000000-0005-0000-0000-000041000000}"/>
    <cellStyle name="Neutrale" xfId="67" builtinId="28" customBuiltin="1"/>
    <cellStyle name="Neutrale 2" xfId="68" xr:uid="{00000000-0005-0000-0000-000043000000}"/>
    <cellStyle name="Normale" xfId="0" builtinId="0"/>
    <cellStyle name="Normale 10" xfId="69" xr:uid="{00000000-0005-0000-0000-000045000000}"/>
    <cellStyle name="Normale 2" xfId="70" xr:uid="{00000000-0005-0000-0000-000046000000}"/>
    <cellStyle name="Normale 2 2" xfId="71" xr:uid="{00000000-0005-0000-0000-000047000000}"/>
    <cellStyle name="Normale 2 2 2" xfId="72" xr:uid="{00000000-0005-0000-0000-000048000000}"/>
    <cellStyle name="Normale 2 3" xfId="73" xr:uid="{00000000-0005-0000-0000-000049000000}"/>
    <cellStyle name="Normale 2 4" xfId="74" xr:uid="{00000000-0005-0000-0000-00004A000000}"/>
    <cellStyle name="Normale 3" xfId="75" xr:uid="{00000000-0005-0000-0000-00004B000000}"/>
    <cellStyle name="Normale 3 2" xfId="76" xr:uid="{00000000-0005-0000-0000-00004C000000}"/>
    <cellStyle name="Normale 3 3" xfId="77" xr:uid="{00000000-0005-0000-0000-00004D000000}"/>
    <cellStyle name="Normale 4" xfId="78" xr:uid="{00000000-0005-0000-0000-00004E000000}"/>
    <cellStyle name="Normale 4 2" xfId="79" xr:uid="{00000000-0005-0000-0000-00004F000000}"/>
    <cellStyle name="Normale 4 3" xfId="80" xr:uid="{00000000-0005-0000-0000-000050000000}"/>
    <cellStyle name="Normale 5" xfId="81" xr:uid="{00000000-0005-0000-0000-000051000000}"/>
    <cellStyle name="Normale 5 2" xfId="82" xr:uid="{00000000-0005-0000-0000-000052000000}"/>
    <cellStyle name="Normale 6" xfId="83" xr:uid="{00000000-0005-0000-0000-000053000000}"/>
    <cellStyle name="Normale 7" xfId="84" xr:uid="{00000000-0005-0000-0000-000054000000}"/>
    <cellStyle name="Normale 8" xfId="85" xr:uid="{00000000-0005-0000-0000-000055000000}"/>
    <cellStyle name="Normale 9" xfId="86" xr:uid="{00000000-0005-0000-0000-000056000000}"/>
    <cellStyle name="Normale_ENTI LOCALI  2000" xfId="87" xr:uid="{00000000-0005-0000-0000-000057000000}"/>
    <cellStyle name="Normale_Foglio1" xfId="128" xr:uid="{13403F81-096F-429B-84D2-2A31114B5895}"/>
    <cellStyle name="Normale_MINISTERI" xfId="88" xr:uid="{00000000-0005-0000-0000-000058000000}"/>
    <cellStyle name="Normale_modello si2 raln_MODIFICATO_ALESSIO" xfId="89" xr:uid="{00000000-0005-0000-0000-000059000000}"/>
    <cellStyle name="Normale_PRINFEL98" xfId="90" xr:uid="{00000000-0005-0000-0000-00005A000000}"/>
    <cellStyle name="Normale_PRINFEL98_modello si2 raln_MODIFICATO_ALESSIO 2" xfId="91" xr:uid="{00000000-0005-0000-0000-00005B000000}"/>
    <cellStyle name="Normale_Prospetto informativo 2001" xfId="92" xr:uid="{00000000-0005-0000-0000-00005C000000}"/>
    <cellStyle name="Normale_Sanità 2005 nuove tabelle e qualifiche" xfId="129" xr:uid="{67DBDA68-5E2B-4E58-8A6C-DEC8D8AAA873}"/>
    <cellStyle name="Normale_tabella 4" xfId="93" xr:uid="{00000000-0005-0000-0000-00005D000000}"/>
    <cellStyle name="Normale_tabella 5" xfId="94" xr:uid="{00000000-0005-0000-0000-00005E000000}"/>
    <cellStyle name="Normale_tabella 6" xfId="95" xr:uid="{00000000-0005-0000-0000-00005F000000}"/>
    <cellStyle name="Normale_tabella 7" xfId="96" xr:uid="{00000000-0005-0000-0000-000060000000}"/>
    <cellStyle name="Normale_tabella 8" xfId="97" xr:uid="{00000000-0005-0000-0000-000061000000}"/>
    <cellStyle name="Normale_tabella 9" xfId="98" xr:uid="{00000000-0005-0000-0000-000062000000}"/>
    <cellStyle name="Nota" xfId="99" builtinId="10" customBuiltin="1"/>
    <cellStyle name="Nota 2" xfId="100" xr:uid="{00000000-0005-0000-0000-000064000000}"/>
    <cellStyle name="Output" xfId="101" builtinId="21" customBuiltin="1"/>
    <cellStyle name="Output 2" xfId="102" xr:uid="{00000000-0005-0000-0000-000066000000}"/>
    <cellStyle name="Percentuale" xfId="103" builtinId="5"/>
    <cellStyle name="Percentuale 2" xfId="104" xr:uid="{00000000-0005-0000-0000-000068000000}"/>
    <cellStyle name="Percentuale 2 2" xfId="105" xr:uid="{00000000-0005-0000-0000-000069000000}"/>
    <cellStyle name="Percentuale 3" xfId="106" xr:uid="{00000000-0005-0000-0000-00006A000000}"/>
    <cellStyle name="Testo avviso" xfId="107" builtinId="11" customBuiltin="1"/>
    <cellStyle name="Testo avviso 2" xfId="108" xr:uid="{00000000-0005-0000-0000-00006C000000}"/>
    <cellStyle name="Testo descrittivo" xfId="109" builtinId="53" customBuiltin="1"/>
    <cellStyle name="Testo descrittivo 2" xfId="110" xr:uid="{00000000-0005-0000-0000-00006E000000}"/>
    <cellStyle name="Titolo" xfId="111" builtinId="15" customBuiltin="1"/>
    <cellStyle name="Titolo 1" xfId="112" builtinId="16" customBuiltin="1"/>
    <cellStyle name="Titolo 1 2" xfId="113" xr:uid="{00000000-0005-0000-0000-000071000000}"/>
    <cellStyle name="Titolo 2" xfId="114" builtinId="17" customBuiltin="1"/>
    <cellStyle name="Titolo 2 2" xfId="115" xr:uid="{00000000-0005-0000-0000-000073000000}"/>
    <cellStyle name="Titolo 3" xfId="116" builtinId="18" customBuiltin="1"/>
    <cellStyle name="Titolo 3 2" xfId="117" xr:uid="{00000000-0005-0000-0000-000075000000}"/>
    <cellStyle name="Titolo 4" xfId="118" builtinId="19" customBuiltin="1"/>
    <cellStyle name="Titolo 4 2" xfId="119" xr:uid="{00000000-0005-0000-0000-000077000000}"/>
    <cellStyle name="Titolo 5" xfId="120" xr:uid="{00000000-0005-0000-0000-000078000000}"/>
    <cellStyle name="Totale" xfId="121" builtinId="25" customBuiltin="1"/>
    <cellStyle name="Totale 2" xfId="122" xr:uid="{00000000-0005-0000-0000-00007A000000}"/>
    <cellStyle name="Valore non valido" xfId="123" builtinId="27" customBuiltin="1"/>
    <cellStyle name="Valore non valido 2" xfId="124" xr:uid="{00000000-0005-0000-0000-00007C000000}"/>
    <cellStyle name="Valore valido" xfId="125" builtinId="26" customBuiltin="1"/>
    <cellStyle name="Valore valido 2" xfId="126" xr:uid="{00000000-0005-0000-0000-00007E000000}"/>
    <cellStyle name="Valuta (0)_3tabella15" xfId="127" xr:uid="{00000000-0005-0000-0000-00007F000000}"/>
  </cellStyles>
  <dxfs count="49">
    <dxf>
      <font>
        <color rgb="FF9C0006"/>
      </font>
      <fill>
        <patternFill>
          <bgColor rgb="FFFFC7CE"/>
        </patternFill>
      </fill>
    </dxf>
    <dxf>
      <font>
        <color rgb="FFFF0000"/>
      </font>
    </dxf>
    <dxf>
      <font>
        <color rgb="FFFF0000"/>
      </font>
    </dxf>
    <dxf>
      <font>
        <color rgb="FFFF0000"/>
      </font>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rgb="FFFF0000"/>
      </font>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4313197370288698E-3"/>
          <c:y val="0.19917335278385606"/>
          <c:w val="0.99172935714706101"/>
          <c:h val="0.2738633600778021"/>
        </c:manualLayout>
      </c:layout>
      <c:barChart>
        <c:barDir val="col"/>
        <c:grouping val="clustered"/>
        <c:varyColors val="0"/>
        <c:ser>
          <c:idx val="0"/>
          <c:order val="0"/>
          <c:spPr>
            <a:solidFill>
              <a:srgbClr val="000000"/>
            </a:solidFill>
            <a:ln w="12700">
              <a:solidFill>
                <a:srgbClr val="000000"/>
              </a:solidFill>
              <a:prstDash val="solid"/>
            </a:ln>
          </c:spPr>
          <c:invertIfNegative val="0"/>
          <c:cat>
            <c:strRef>
              <c:f>SI_1!$B$222:$B$241</c:f>
              <c:strCache>
                <c:ptCount val="20"/>
                <c:pt idx="0">
                  <c:v>TFAM</c:v>
                </c:pt>
                <c:pt idx="1">
                  <c:v>T1</c:v>
                </c:pt>
                <c:pt idx="2">
                  <c:v>1E</c:v>
                </c:pt>
                <c:pt idx="3">
                  <c:v>T2</c:v>
                </c:pt>
                <c:pt idx="4">
                  <c:v>T2A</c:v>
                </c:pt>
                <c:pt idx="5">
                  <c:v>T3</c:v>
                </c:pt>
                <c:pt idx="6">
                  <c:v>T4</c:v>
                </c:pt>
                <c:pt idx="7">
                  <c:v>T5</c:v>
                </c:pt>
                <c:pt idx="8">
                  <c:v>T6</c:v>
                </c:pt>
                <c:pt idx="9">
                  <c:v>T7</c:v>
                </c:pt>
                <c:pt idx="10">
                  <c:v>T8</c:v>
                </c:pt>
                <c:pt idx="11">
                  <c:v>T9</c:v>
                </c:pt>
                <c:pt idx="12">
                  <c:v>T10</c:v>
                </c:pt>
                <c:pt idx="13">
                  <c:v>T11</c:v>
                </c:pt>
                <c:pt idx="14">
                  <c:v>T12</c:v>
                </c:pt>
                <c:pt idx="15">
                  <c:v>T13</c:v>
                </c:pt>
                <c:pt idx="16">
                  <c:v>T14</c:v>
                </c:pt>
                <c:pt idx="17">
                  <c:v>T15</c:v>
                </c:pt>
                <c:pt idx="18">
                  <c:v>SICI</c:v>
                </c:pt>
                <c:pt idx="19">
                  <c:v>TRC</c:v>
                </c:pt>
              </c:strCache>
            </c:strRef>
          </c:cat>
          <c:val>
            <c:numRef>
              <c:f>SI_1!$C$222:$C$241</c:f>
              <c:numCache>
                <c:formatCode>General</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FDE8-468E-8B62-C39DA0301395}"/>
            </c:ext>
          </c:extLst>
        </c:ser>
        <c:dLbls>
          <c:showLegendKey val="0"/>
          <c:showVal val="0"/>
          <c:showCatName val="0"/>
          <c:showSerName val="0"/>
          <c:showPercent val="0"/>
          <c:showBubbleSize val="0"/>
        </c:dLbls>
        <c:gapWidth val="150"/>
        <c:axId val="1378333168"/>
        <c:axId val="1"/>
      </c:barChart>
      <c:catAx>
        <c:axId val="1378333168"/>
        <c:scaling>
          <c:orientation val="minMax"/>
        </c:scaling>
        <c:delete val="0"/>
        <c:axPos val="b"/>
        <c:numFmt formatCode="General" sourceLinked="1"/>
        <c:majorTickMark val="out"/>
        <c:minorTickMark val="none"/>
        <c:tickLblPos val="nextTo"/>
        <c:spPr>
          <a:ln w="9525">
            <a:noFill/>
          </a:ln>
        </c:spPr>
        <c:txPr>
          <a:bodyPr rot="0" vert="horz"/>
          <a:lstStyle/>
          <a:p>
            <a:pPr>
              <a:defRPr sz="800" b="1" i="0" u="none" strike="noStrike" baseline="0">
                <a:solidFill>
                  <a:srgbClr val="000000"/>
                </a:solidFill>
                <a:latin typeface="Arial"/>
                <a:ea typeface="Arial"/>
                <a:cs typeface="Arial"/>
              </a:defRPr>
            </a:pPr>
            <a:endParaRPr lang="it-IT"/>
          </a:p>
        </c:txPr>
        <c:crossAx val="1"/>
        <c:crossesAt val="0"/>
        <c:auto val="1"/>
        <c:lblAlgn val="ctr"/>
        <c:lblOffset val="100"/>
        <c:tickLblSkip val="1"/>
        <c:tickMarkSkip val="1"/>
        <c:noMultiLvlLbl val="0"/>
      </c:catAx>
      <c:valAx>
        <c:axId val="1"/>
        <c:scaling>
          <c:orientation val="minMax"/>
          <c:max val="1"/>
        </c:scaling>
        <c:delete val="1"/>
        <c:axPos val="l"/>
        <c:numFmt formatCode="General" sourceLinked="1"/>
        <c:majorTickMark val="out"/>
        <c:minorTickMark val="none"/>
        <c:tickLblPos val="nextTo"/>
        <c:crossAx val="1378333168"/>
        <c:crosses val="autoZero"/>
        <c:crossBetween val="between"/>
        <c:majorUnit val="1"/>
        <c:minorUnit val="0.04"/>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it-IT"/>
    </a:p>
  </c:txPr>
  <c:printSettings>
    <c:headerFooter alignWithMargins="0"/>
    <c:pageMargins b="1" l="0.75" r="0.75" t="1" header="0.5" footer="0.5"/>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4247787610619468E-3"/>
          <c:y val="0.23157894736842105"/>
          <c:w val="0.9699115044247788"/>
          <c:h val="0.38947368421052631"/>
        </c:manualLayout>
      </c:layout>
      <c:barChart>
        <c:barDir val="col"/>
        <c:grouping val="clustered"/>
        <c:varyColors val="0"/>
        <c:ser>
          <c:idx val="0"/>
          <c:order val="0"/>
          <c:spPr>
            <a:solidFill>
              <a:srgbClr val="FF0000"/>
            </a:solidFill>
            <a:ln w="12700">
              <a:solidFill>
                <a:srgbClr val="000000"/>
              </a:solidFill>
              <a:prstDash val="solid"/>
            </a:ln>
          </c:spPr>
          <c:invertIfNegative val="0"/>
          <c:cat>
            <c:strRef>
              <c:f>SI_1!$E$222:$E$247</c:f>
              <c:strCache>
                <c:ptCount val="26"/>
                <c:pt idx="0">
                  <c:v>SQ 1</c:v>
                </c:pt>
                <c:pt idx="1">
                  <c:v>SQ 2</c:v>
                </c:pt>
                <c:pt idx="2">
                  <c:v>SQ 3</c:v>
                </c:pt>
                <c:pt idx="3">
                  <c:v>SQ 4</c:v>
                </c:pt>
                <c:pt idx="4">
                  <c:v>SQ 5</c:v>
                </c:pt>
                <c:pt idx="5">
                  <c:v>SQ 6</c:v>
                </c:pt>
                <c:pt idx="6">
                  <c:v>SQ 8</c:v>
                </c:pt>
                <c:pt idx="7">
                  <c:v>SQ 9</c:v>
                </c:pt>
                <c:pt idx="8">
                  <c:v>SQ 10</c:v>
                </c:pt>
                <c:pt idx="9">
                  <c:v>IN 1</c:v>
                </c:pt>
                <c:pt idx="10">
                  <c:v>IN 2</c:v>
                </c:pt>
                <c:pt idx="11">
                  <c:v>IN 3</c:v>
                </c:pt>
                <c:pt idx="12">
                  <c:v>IN 4</c:v>
                </c:pt>
                <c:pt idx="13">
                  <c:v>IN 5</c:v>
                </c:pt>
                <c:pt idx="14">
                  <c:v>IN 6</c:v>
                </c:pt>
                <c:pt idx="15">
                  <c:v>IN 7</c:v>
                </c:pt>
                <c:pt idx="16">
                  <c:v>IN 8</c:v>
                </c:pt>
                <c:pt idx="17">
                  <c:v>IN 9</c:v>
                </c:pt>
                <c:pt idx="18">
                  <c:v>IN 10</c:v>
                </c:pt>
                <c:pt idx="19">
                  <c:v>IN 11</c:v>
                </c:pt>
                <c:pt idx="20">
                  <c:v>IN 12</c:v>
                </c:pt>
                <c:pt idx="21">
                  <c:v>IN 13</c:v>
                </c:pt>
                <c:pt idx="22">
                  <c:v>IN 14</c:v>
                </c:pt>
                <c:pt idx="23">
                  <c:v>IN 15</c:v>
                </c:pt>
                <c:pt idx="24">
                  <c:v>IN 16</c:v>
                </c:pt>
                <c:pt idx="25">
                  <c:v>IN 17</c:v>
                </c:pt>
              </c:strCache>
            </c:strRef>
          </c:cat>
          <c:val>
            <c:numRef>
              <c:f>SI_1!$F$222:$F$247</c:f>
              <c:numCache>
                <c:formatCode>General</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0-00A8-44BE-A5E2-F21545950006}"/>
            </c:ext>
          </c:extLst>
        </c:ser>
        <c:dLbls>
          <c:showLegendKey val="0"/>
          <c:showVal val="0"/>
          <c:showCatName val="0"/>
          <c:showSerName val="0"/>
          <c:showPercent val="0"/>
          <c:showBubbleSize val="0"/>
        </c:dLbls>
        <c:gapWidth val="150"/>
        <c:axId val="1316379376"/>
        <c:axId val="1"/>
      </c:barChart>
      <c:catAx>
        <c:axId val="1316379376"/>
        <c:scaling>
          <c:orientation val="minMax"/>
        </c:scaling>
        <c:delete val="0"/>
        <c:axPos val="b"/>
        <c:numFmt formatCode="General" sourceLinked="1"/>
        <c:majorTickMark val="out"/>
        <c:minorTickMark val="none"/>
        <c:tickLblPos val="nextTo"/>
        <c:spPr>
          <a:ln w="9525">
            <a:noFill/>
          </a:ln>
        </c:spPr>
        <c:txPr>
          <a:bodyPr rot="0" vert="horz"/>
          <a:lstStyle/>
          <a:p>
            <a:pPr>
              <a:defRPr sz="700" b="1" i="0" u="none" strike="noStrike" baseline="0">
                <a:solidFill>
                  <a:srgbClr val="000000"/>
                </a:solidFill>
                <a:latin typeface="Arial"/>
                <a:ea typeface="Arial"/>
                <a:cs typeface="Arial"/>
              </a:defRPr>
            </a:pPr>
            <a:endParaRPr lang="it-IT"/>
          </a:p>
        </c:txPr>
        <c:crossAx val="1"/>
        <c:crosses val="autoZero"/>
        <c:auto val="1"/>
        <c:lblAlgn val="ctr"/>
        <c:lblOffset val="100"/>
        <c:tickLblSkip val="1"/>
        <c:tickMarkSkip val="1"/>
        <c:noMultiLvlLbl val="0"/>
      </c:catAx>
      <c:valAx>
        <c:axId val="1"/>
        <c:scaling>
          <c:orientation val="minMax"/>
        </c:scaling>
        <c:delete val="1"/>
        <c:axPos val="l"/>
        <c:numFmt formatCode="General" sourceLinked="1"/>
        <c:majorTickMark val="out"/>
        <c:minorTickMark val="none"/>
        <c:tickLblPos val="nextTo"/>
        <c:crossAx val="131637937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75" b="0" i="0" u="none" strike="noStrike" baseline="0">
          <a:solidFill>
            <a:srgbClr val="000000"/>
          </a:solidFill>
          <a:latin typeface="Arial"/>
          <a:ea typeface="Arial"/>
          <a:cs typeface="Arial"/>
        </a:defRPr>
      </a:pPr>
      <a:endParaRPr lang="it-IT"/>
    </a:p>
  </c:txPr>
  <c:printSettings>
    <c:headerFooter alignWithMargins="0"/>
    <c:pageMargins b="1" l="0.75" r="0.75" t="1" header="0.5" footer="0.5"/>
    <c:pageSetup paperSize="9" orientation="landscape" horizontalDpi="0" verticalDpi="0"/>
  </c:printSettings>
</c:chartSpace>
</file>

<file path=xl/ctrlProps/ctrlProp1.xml><?xml version="1.0" encoding="utf-8"?>
<formControlPr xmlns="http://schemas.microsoft.com/office/spreadsheetml/2009/9/main" objectType="Drop" dropStyle="combo" dx="26" fmlaLink="$AK$3" fmlaRange="$AK$1:$AK$2" noThreeD="1" sel="2" val="0"/>
</file>

<file path=xl/ctrlProps/ctrlProp2.xml><?xml version="1.0" encoding="utf-8"?>
<formControlPr xmlns="http://schemas.microsoft.com/office/spreadsheetml/2009/9/main" objectType="Drop" dropStyle="combo" dx="26" fmlaLink="$G$22" fmlaRange="$G$20:$G$21" noThreeD="1" sel="2" val="0"/>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216</xdr:row>
      <xdr:rowOff>0</xdr:rowOff>
    </xdr:from>
    <xdr:to>
      <xdr:col>4</xdr:col>
      <xdr:colOff>105410</xdr:colOff>
      <xdr:row>216</xdr:row>
      <xdr:rowOff>190500</xdr:rowOff>
    </xdr:to>
    <xdr:sp macro="" textlink="">
      <xdr:nvSpPr>
        <xdr:cNvPr id="3319266" name="Text Box 7">
          <a:extLst>
            <a:ext uri="{FF2B5EF4-FFF2-40B4-BE49-F238E27FC236}">
              <a16:creationId xmlns:a16="http://schemas.microsoft.com/office/drawing/2014/main" id="{00000000-0008-0000-0000-0000E2A53200}"/>
            </a:ext>
          </a:extLst>
        </xdr:cNvPr>
        <xdr:cNvSpPr txBox="1">
          <a:spLocks noChangeArrowheads="1"/>
        </xdr:cNvSpPr>
      </xdr:nvSpPr>
      <xdr:spPr bwMode="auto">
        <a:xfrm>
          <a:off x="4472940" y="17762220"/>
          <a:ext cx="9906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xdr:col>
      <xdr:colOff>571500</xdr:colOff>
      <xdr:row>31</xdr:row>
      <xdr:rowOff>0</xdr:rowOff>
    </xdr:from>
    <xdr:to>
      <xdr:col>3</xdr:col>
      <xdr:colOff>571500</xdr:colOff>
      <xdr:row>31</xdr:row>
      <xdr:rowOff>0</xdr:rowOff>
    </xdr:to>
    <xdr:sp macro="" textlink="">
      <xdr:nvSpPr>
        <xdr:cNvPr id="3319267" name="Line 8">
          <a:extLst>
            <a:ext uri="{FF2B5EF4-FFF2-40B4-BE49-F238E27FC236}">
              <a16:creationId xmlns:a16="http://schemas.microsoft.com/office/drawing/2014/main" id="{00000000-0008-0000-0000-0000E3A53200}"/>
            </a:ext>
          </a:extLst>
        </xdr:cNvPr>
        <xdr:cNvSpPr>
          <a:spLocks noChangeShapeType="1"/>
        </xdr:cNvSpPr>
      </xdr:nvSpPr>
      <xdr:spPr bwMode="auto">
        <a:xfrm>
          <a:off x="395478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640080</xdr:colOff>
      <xdr:row>31</xdr:row>
      <xdr:rowOff>0</xdr:rowOff>
    </xdr:from>
    <xdr:to>
      <xdr:col>5</xdr:col>
      <xdr:colOff>640080</xdr:colOff>
      <xdr:row>31</xdr:row>
      <xdr:rowOff>0</xdr:rowOff>
    </xdr:to>
    <xdr:sp macro="" textlink="">
      <xdr:nvSpPr>
        <xdr:cNvPr id="3319268" name="Line 9">
          <a:extLst>
            <a:ext uri="{FF2B5EF4-FFF2-40B4-BE49-F238E27FC236}">
              <a16:creationId xmlns:a16="http://schemas.microsoft.com/office/drawing/2014/main" id="{00000000-0008-0000-0000-0000E4A53200}"/>
            </a:ext>
          </a:extLst>
        </xdr:cNvPr>
        <xdr:cNvSpPr>
          <a:spLocks noChangeShapeType="1"/>
        </xdr:cNvSpPr>
      </xdr:nvSpPr>
      <xdr:spPr bwMode="auto">
        <a:xfrm>
          <a:off x="728472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xdr:colOff>
      <xdr:row>216</xdr:row>
      <xdr:rowOff>0</xdr:rowOff>
    </xdr:from>
    <xdr:to>
      <xdr:col>7</xdr:col>
      <xdr:colOff>0</xdr:colOff>
      <xdr:row>217</xdr:row>
      <xdr:rowOff>114300</xdr:rowOff>
    </xdr:to>
    <xdr:graphicFrame macro="">
      <xdr:nvGraphicFramePr>
        <xdr:cNvPr id="3319269" name="Chart 19">
          <a:extLst>
            <a:ext uri="{FF2B5EF4-FFF2-40B4-BE49-F238E27FC236}">
              <a16:creationId xmlns:a16="http://schemas.microsoft.com/office/drawing/2014/main" id="{00000000-0008-0000-0000-0000E5A53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342900</xdr:colOff>
      <xdr:row>218</xdr:row>
      <xdr:rowOff>15240</xdr:rowOff>
    </xdr:from>
    <xdr:to>
      <xdr:col>10</xdr:col>
      <xdr:colOff>7620</xdr:colOff>
      <xdr:row>220</xdr:row>
      <xdr:rowOff>213360</xdr:rowOff>
    </xdr:to>
    <xdr:graphicFrame macro="">
      <xdr:nvGraphicFramePr>
        <xdr:cNvPr id="3319270" name="Chart 20">
          <a:extLst>
            <a:ext uri="{FF2B5EF4-FFF2-40B4-BE49-F238E27FC236}">
              <a16:creationId xmlns:a16="http://schemas.microsoft.com/office/drawing/2014/main" id="{00000000-0008-0000-0000-0000E6A53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294005</xdr:colOff>
      <xdr:row>0</xdr:row>
      <xdr:rowOff>62230</xdr:rowOff>
    </xdr:from>
    <xdr:to>
      <xdr:col>6</xdr:col>
      <xdr:colOff>1271761</xdr:colOff>
      <xdr:row>0</xdr:row>
      <xdr:rowOff>535655</xdr:rowOff>
    </xdr:to>
    <xdr:sp macro="" textlink="">
      <xdr:nvSpPr>
        <xdr:cNvPr id="63612" name="Testo 1">
          <a:extLst>
            <a:ext uri="{FF2B5EF4-FFF2-40B4-BE49-F238E27FC236}">
              <a16:creationId xmlns:a16="http://schemas.microsoft.com/office/drawing/2014/main" id="{00000000-0008-0000-0000-00007CF80000}"/>
            </a:ext>
          </a:extLst>
        </xdr:cNvPr>
        <xdr:cNvSpPr>
          <a:spLocks noChangeArrowheads="1"/>
        </xdr:cNvSpPr>
      </xdr:nvSpPr>
      <xdr:spPr bwMode="auto">
        <a:xfrm>
          <a:off x="361950" y="53975"/>
          <a:ext cx="9802470" cy="479511"/>
        </a:xfrm>
        <a:prstGeom prst="roundRect">
          <a:avLst>
            <a:gd name="adj" fmla="val 16667"/>
          </a:avLst>
        </a:prstGeom>
        <a:solidFill>
          <a:srgbClr val="C0C0C0"/>
        </a:solidFill>
        <a:ln w="9525">
          <a:solidFill>
            <a:srgbClr val="000000"/>
          </a:solidFill>
          <a:round/>
          <a:headEnd/>
          <a:tailEnd/>
        </a:ln>
        <a:effectLst>
          <a:outerShdw dist="35921" dir="2700000" algn="ctr" rotWithShape="0">
            <a:srgbClr val="000000"/>
          </a:outerShdw>
        </a:effectLst>
      </xdr:spPr>
      <xdr:txBody>
        <a:bodyPr vertOverflow="clip" wrap="square" lIns="45720" tIns="36576" rIns="45720" bIns="36576" anchor="ctr" upright="1"/>
        <a:lstStyle/>
        <a:p>
          <a:pPr algn="ctr" rtl="0">
            <a:defRPr sz="1000"/>
          </a:pPr>
          <a:r>
            <a:rPr lang="it-IT" sz="1800" b="1" i="0" strike="noStrike">
              <a:solidFill>
                <a:srgbClr val="000000"/>
              </a:solidFill>
              <a:latin typeface="Arial"/>
              <a:cs typeface="Arial"/>
            </a:rPr>
            <a:t>Scheda Informativa 1: INFORMAZIONI  DI CARATTERE GENERALE</a:t>
          </a:r>
        </a:p>
      </xdr:txBody>
    </xdr:sp>
    <xdr:clientData fLocksWithSheet="0"/>
  </xdr:twoCellAnchor>
  <xdr:twoCellAnchor>
    <xdr:from>
      <xdr:col>3</xdr:col>
      <xdr:colOff>571500</xdr:colOff>
      <xdr:row>37</xdr:row>
      <xdr:rowOff>0</xdr:rowOff>
    </xdr:from>
    <xdr:to>
      <xdr:col>3</xdr:col>
      <xdr:colOff>571500</xdr:colOff>
      <xdr:row>37</xdr:row>
      <xdr:rowOff>0</xdr:rowOff>
    </xdr:to>
    <xdr:sp macro="" textlink="">
      <xdr:nvSpPr>
        <xdr:cNvPr id="3319272" name="Line 8">
          <a:extLst>
            <a:ext uri="{FF2B5EF4-FFF2-40B4-BE49-F238E27FC236}">
              <a16:creationId xmlns:a16="http://schemas.microsoft.com/office/drawing/2014/main" id="{00000000-0008-0000-0000-0000E8A53200}"/>
            </a:ext>
          </a:extLst>
        </xdr:cNvPr>
        <xdr:cNvSpPr>
          <a:spLocks noChangeShapeType="1"/>
        </xdr:cNvSpPr>
      </xdr:nvSpPr>
      <xdr:spPr bwMode="auto">
        <a:xfrm>
          <a:off x="3954780" y="803148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640080</xdr:colOff>
      <xdr:row>37</xdr:row>
      <xdr:rowOff>0</xdr:rowOff>
    </xdr:from>
    <xdr:to>
      <xdr:col>5</xdr:col>
      <xdr:colOff>640080</xdr:colOff>
      <xdr:row>37</xdr:row>
      <xdr:rowOff>0</xdr:rowOff>
    </xdr:to>
    <xdr:sp macro="" textlink="">
      <xdr:nvSpPr>
        <xdr:cNvPr id="3319273" name="Line 9">
          <a:extLst>
            <a:ext uri="{FF2B5EF4-FFF2-40B4-BE49-F238E27FC236}">
              <a16:creationId xmlns:a16="http://schemas.microsoft.com/office/drawing/2014/main" id="{00000000-0008-0000-0000-0000E9A53200}"/>
            </a:ext>
          </a:extLst>
        </xdr:cNvPr>
        <xdr:cNvSpPr>
          <a:spLocks noChangeShapeType="1"/>
        </xdr:cNvSpPr>
      </xdr:nvSpPr>
      <xdr:spPr bwMode="auto">
        <a:xfrm>
          <a:off x="7284720" y="803148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571500</xdr:colOff>
      <xdr:row>31</xdr:row>
      <xdr:rowOff>0</xdr:rowOff>
    </xdr:from>
    <xdr:to>
      <xdr:col>3</xdr:col>
      <xdr:colOff>571500</xdr:colOff>
      <xdr:row>31</xdr:row>
      <xdr:rowOff>0</xdr:rowOff>
    </xdr:to>
    <xdr:sp macro="" textlink="">
      <xdr:nvSpPr>
        <xdr:cNvPr id="3319274" name="Line 8">
          <a:extLst>
            <a:ext uri="{FF2B5EF4-FFF2-40B4-BE49-F238E27FC236}">
              <a16:creationId xmlns:a16="http://schemas.microsoft.com/office/drawing/2014/main" id="{00000000-0008-0000-0000-0000EAA53200}"/>
            </a:ext>
          </a:extLst>
        </xdr:cNvPr>
        <xdr:cNvSpPr>
          <a:spLocks noChangeShapeType="1"/>
        </xdr:cNvSpPr>
      </xdr:nvSpPr>
      <xdr:spPr bwMode="auto">
        <a:xfrm>
          <a:off x="395478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640080</xdr:colOff>
      <xdr:row>31</xdr:row>
      <xdr:rowOff>0</xdr:rowOff>
    </xdr:from>
    <xdr:to>
      <xdr:col>5</xdr:col>
      <xdr:colOff>640080</xdr:colOff>
      <xdr:row>31</xdr:row>
      <xdr:rowOff>0</xdr:rowOff>
    </xdr:to>
    <xdr:sp macro="" textlink="">
      <xdr:nvSpPr>
        <xdr:cNvPr id="3319275" name="Line 9">
          <a:extLst>
            <a:ext uri="{FF2B5EF4-FFF2-40B4-BE49-F238E27FC236}">
              <a16:creationId xmlns:a16="http://schemas.microsoft.com/office/drawing/2014/main" id="{00000000-0008-0000-0000-0000EBA53200}"/>
            </a:ext>
          </a:extLst>
        </xdr:cNvPr>
        <xdr:cNvSpPr>
          <a:spLocks noChangeShapeType="1"/>
        </xdr:cNvSpPr>
      </xdr:nvSpPr>
      <xdr:spPr bwMode="auto">
        <a:xfrm>
          <a:off x="728472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1</xdr:row>
      <xdr:rowOff>19685</xdr:rowOff>
    </xdr:from>
    <xdr:to>
      <xdr:col>6</xdr:col>
      <xdr:colOff>0</xdr:colOff>
      <xdr:row>1</xdr:row>
      <xdr:rowOff>295810</xdr:rowOff>
    </xdr:to>
    <xdr:sp macro="" textlink="">
      <xdr:nvSpPr>
        <xdr:cNvPr id="24577" name="Testo 13">
          <a:extLst>
            <a:ext uri="{FF2B5EF4-FFF2-40B4-BE49-F238E27FC236}">
              <a16:creationId xmlns:a16="http://schemas.microsoft.com/office/drawing/2014/main" id="{00000000-0008-0000-0900-000001600000}"/>
            </a:ext>
          </a:extLst>
        </xdr:cNvPr>
        <xdr:cNvSpPr txBox="1">
          <a:spLocks noChangeArrowheads="1"/>
        </xdr:cNvSpPr>
      </xdr:nvSpPr>
      <xdr:spPr bwMode="auto">
        <a:xfrm>
          <a:off x="0" y="581025"/>
          <a:ext cx="6429375"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6 </a:t>
          </a:r>
          <a:r>
            <a:rPr lang="it-IT" sz="800" b="0" i="0" strike="noStrike">
              <a:solidFill>
                <a:srgbClr val="000000"/>
              </a:solidFill>
              <a:latin typeface="Arial"/>
              <a:cs typeface="Arial"/>
            </a:rPr>
            <a:t>-</a:t>
          </a:r>
          <a:r>
            <a:rPr lang="it-IT" sz="900" b="0" i="0" strike="noStrike">
              <a:solidFill>
                <a:srgbClr val="000000"/>
              </a:solidFill>
              <a:latin typeface="Arial"/>
              <a:cs typeface="Arial"/>
            </a:rPr>
            <a:t> Personale a tempo indeterminato e personale dirigente assunto in servizio nel corso dell'anno</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1</xdr:row>
      <xdr:rowOff>48260</xdr:rowOff>
    </xdr:from>
    <xdr:to>
      <xdr:col>11</xdr:col>
      <xdr:colOff>216707</xdr:colOff>
      <xdr:row>1</xdr:row>
      <xdr:rowOff>287216</xdr:rowOff>
    </xdr:to>
    <xdr:sp macro="" textlink="">
      <xdr:nvSpPr>
        <xdr:cNvPr id="23553" name="Testo 13">
          <a:extLst>
            <a:ext uri="{FF2B5EF4-FFF2-40B4-BE49-F238E27FC236}">
              <a16:creationId xmlns:a16="http://schemas.microsoft.com/office/drawing/2014/main" id="{00000000-0008-0000-0A00-0000015C0000}"/>
            </a:ext>
          </a:extLst>
        </xdr:cNvPr>
        <xdr:cNvSpPr txBox="1">
          <a:spLocks noChangeArrowheads="1"/>
        </xdr:cNvSpPr>
      </xdr:nvSpPr>
      <xdr:spPr bwMode="auto">
        <a:xfrm>
          <a:off x="0" y="600075"/>
          <a:ext cx="7286625" cy="2476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7</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900" b="0" i="0" strike="noStrike">
              <a:solidFill>
                <a:srgbClr val="000000"/>
              </a:solidFill>
              <a:latin typeface="Arial"/>
              <a:cs typeface="Arial"/>
            </a:rPr>
            <a:t>Personale a tempo indeterminato e personale dirigente distribuito per classi di anzianità di servizio al 31 dicembre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1</xdr:row>
      <xdr:rowOff>27940</xdr:rowOff>
    </xdr:from>
    <xdr:to>
      <xdr:col>12</xdr:col>
      <xdr:colOff>1919</xdr:colOff>
      <xdr:row>1</xdr:row>
      <xdr:rowOff>255595</xdr:rowOff>
    </xdr:to>
    <xdr:sp macro="" textlink="">
      <xdr:nvSpPr>
        <xdr:cNvPr id="22529" name="Testo 13">
          <a:extLst>
            <a:ext uri="{FF2B5EF4-FFF2-40B4-BE49-F238E27FC236}">
              <a16:creationId xmlns:a16="http://schemas.microsoft.com/office/drawing/2014/main" id="{00000000-0008-0000-0B00-000001580000}"/>
            </a:ext>
          </a:extLst>
        </xdr:cNvPr>
        <xdr:cNvSpPr txBox="1">
          <a:spLocks noChangeArrowheads="1"/>
        </xdr:cNvSpPr>
      </xdr:nvSpPr>
      <xdr:spPr bwMode="auto">
        <a:xfrm>
          <a:off x="0" y="581025"/>
          <a:ext cx="7743825" cy="23812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8</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900" b="0" i="0" strike="noStrike">
              <a:solidFill>
                <a:srgbClr val="000000"/>
              </a:solidFill>
              <a:latin typeface="Arial"/>
              <a:cs typeface="Arial"/>
            </a:rPr>
            <a:t>Personale a tempo indeterminato e personale dirigente distribuito per classi di età al 31 dicembre </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2</xdr:row>
      <xdr:rowOff>39370</xdr:rowOff>
    </xdr:from>
    <xdr:to>
      <xdr:col>8</xdr:col>
      <xdr:colOff>364094</xdr:colOff>
      <xdr:row>2</xdr:row>
      <xdr:rowOff>288177</xdr:rowOff>
    </xdr:to>
    <xdr:sp macro="" textlink="">
      <xdr:nvSpPr>
        <xdr:cNvPr id="21505" name="Testo 2">
          <a:extLst>
            <a:ext uri="{FF2B5EF4-FFF2-40B4-BE49-F238E27FC236}">
              <a16:creationId xmlns:a16="http://schemas.microsoft.com/office/drawing/2014/main" id="{00000000-0008-0000-0C00-000001540000}"/>
            </a:ext>
          </a:extLst>
        </xdr:cNvPr>
        <xdr:cNvSpPr txBox="1">
          <a:spLocks noChangeArrowheads="1"/>
        </xdr:cNvSpPr>
      </xdr:nvSpPr>
      <xdr:spPr bwMode="auto">
        <a:xfrm>
          <a:off x="0" y="647700"/>
          <a:ext cx="737616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9 - </a:t>
          </a:r>
          <a:r>
            <a:rPr lang="it-IT" sz="900" b="0" i="0" strike="noStrike">
              <a:solidFill>
                <a:srgbClr val="000000"/>
              </a:solidFill>
              <a:latin typeface="Arial"/>
              <a:cs typeface="Arial"/>
            </a:rPr>
            <a:t>Personale dipendente a tempo indeterminato e personale dirigente distribuito per titolo di studio posseduto al 31 dicembre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1</xdr:row>
      <xdr:rowOff>23495</xdr:rowOff>
    </xdr:from>
    <xdr:to>
      <xdr:col>14</xdr:col>
      <xdr:colOff>0</xdr:colOff>
      <xdr:row>1</xdr:row>
      <xdr:rowOff>286944</xdr:rowOff>
    </xdr:to>
    <xdr:sp macro="" textlink="">
      <xdr:nvSpPr>
        <xdr:cNvPr id="35842" name="Testo 9">
          <a:extLst>
            <a:ext uri="{FF2B5EF4-FFF2-40B4-BE49-F238E27FC236}">
              <a16:creationId xmlns:a16="http://schemas.microsoft.com/office/drawing/2014/main" id="{00000000-0008-0000-0D00-0000028C0000}"/>
            </a:ext>
          </a:extLst>
        </xdr:cNvPr>
        <xdr:cNvSpPr txBox="1">
          <a:spLocks noChangeArrowheads="1"/>
        </xdr:cNvSpPr>
      </xdr:nvSpPr>
      <xdr:spPr bwMode="auto">
        <a:xfrm>
          <a:off x="2619375" y="590550"/>
          <a:ext cx="537210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27432" anchor="ctr" upright="1"/>
        <a:lstStyle/>
        <a:p>
          <a:pPr algn="l" rtl="0">
            <a:defRPr sz="1000"/>
          </a:pPr>
          <a:r>
            <a:rPr lang="it-IT" sz="1200" b="1" i="0" strike="noStrike">
              <a:solidFill>
                <a:srgbClr val="000000"/>
              </a:solidFill>
              <a:latin typeface="Arial"/>
              <a:cs typeface="Arial"/>
            </a:rPr>
            <a:t>Tabella 10</a:t>
          </a:r>
          <a:r>
            <a:rPr lang="it-IT" sz="900" b="1" i="0" strike="noStrike">
              <a:solidFill>
                <a:srgbClr val="000000"/>
              </a:solidFill>
              <a:latin typeface="Arial"/>
              <a:cs typeface="Arial"/>
            </a:rPr>
            <a:t> </a:t>
          </a:r>
          <a:r>
            <a:rPr lang="it-IT" sz="900" b="0" i="0" strike="noStrike">
              <a:solidFill>
                <a:srgbClr val="000000"/>
              </a:solidFill>
              <a:latin typeface="Arial"/>
              <a:cs typeface="Arial"/>
            </a:rPr>
            <a:t>Personale  in servizio al 31 dicembre  distribuito per Regioni e all'estero.</a:t>
          </a:r>
        </a:p>
      </xdr:txBody>
    </xdr:sp>
    <xdr:clientData/>
  </xdr:twoCellAnchor>
  <xdr:twoCellAnchor>
    <xdr:from>
      <xdr:col>26</xdr:col>
      <xdr:colOff>0</xdr:colOff>
      <xdr:row>1</xdr:row>
      <xdr:rowOff>23495</xdr:rowOff>
    </xdr:from>
    <xdr:to>
      <xdr:col>37</xdr:col>
      <xdr:colOff>24178</xdr:colOff>
      <xdr:row>1</xdr:row>
      <xdr:rowOff>286944</xdr:rowOff>
    </xdr:to>
    <xdr:sp macro="" textlink="">
      <xdr:nvSpPr>
        <xdr:cNvPr id="35847" name="Testo 9">
          <a:extLst>
            <a:ext uri="{FF2B5EF4-FFF2-40B4-BE49-F238E27FC236}">
              <a16:creationId xmlns:a16="http://schemas.microsoft.com/office/drawing/2014/main" id="{00000000-0008-0000-0D00-0000078C0000}"/>
            </a:ext>
          </a:extLst>
        </xdr:cNvPr>
        <xdr:cNvSpPr txBox="1">
          <a:spLocks noChangeArrowheads="1"/>
        </xdr:cNvSpPr>
      </xdr:nvSpPr>
      <xdr:spPr bwMode="auto">
        <a:xfrm>
          <a:off x="13363575" y="590550"/>
          <a:ext cx="537210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27432" anchor="ctr" upright="1"/>
        <a:lstStyle/>
        <a:p>
          <a:pPr algn="l" rtl="0">
            <a:defRPr sz="1000"/>
          </a:pPr>
          <a:r>
            <a:rPr lang="it-IT" sz="1200" b="1" i="0" strike="noStrike">
              <a:solidFill>
                <a:srgbClr val="000000"/>
              </a:solidFill>
              <a:latin typeface="Arial"/>
              <a:cs typeface="Arial"/>
            </a:rPr>
            <a:t>Tabella 10</a:t>
          </a:r>
          <a:r>
            <a:rPr lang="it-IT" sz="900" b="1" i="0" strike="noStrike">
              <a:solidFill>
                <a:srgbClr val="000000"/>
              </a:solidFill>
              <a:latin typeface="Arial"/>
              <a:cs typeface="Arial"/>
            </a:rPr>
            <a:t> </a:t>
          </a:r>
          <a:r>
            <a:rPr lang="it-IT" sz="900" b="0" i="0" strike="noStrike">
              <a:solidFill>
                <a:srgbClr val="000000"/>
              </a:solidFill>
              <a:latin typeface="Arial"/>
              <a:cs typeface="Arial"/>
            </a:rPr>
            <a:t>Personale  in servizio al 31 dicembre  distribuito per Regioni e all'estero.</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1</xdr:row>
      <xdr:rowOff>19685</xdr:rowOff>
    </xdr:from>
    <xdr:to>
      <xdr:col>31</xdr:col>
      <xdr:colOff>76196</xdr:colOff>
      <xdr:row>1</xdr:row>
      <xdr:rowOff>295810</xdr:rowOff>
    </xdr:to>
    <xdr:sp macro="" textlink="">
      <xdr:nvSpPr>
        <xdr:cNvPr id="60417" name="Testo 3">
          <a:extLst>
            <a:ext uri="{FF2B5EF4-FFF2-40B4-BE49-F238E27FC236}">
              <a16:creationId xmlns:a16="http://schemas.microsoft.com/office/drawing/2014/main" id="{00000000-0008-0000-0E00-000001EC0000}"/>
            </a:ext>
          </a:extLst>
        </xdr:cNvPr>
        <xdr:cNvSpPr txBox="1">
          <a:spLocks noChangeArrowheads="1"/>
        </xdr:cNvSpPr>
      </xdr:nvSpPr>
      <xdr:spPr bwMode="auto">
        <a:xfrm>
          <a:off x="0" y="577215"/>
          <a:ext cx="556260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11</a:t>
          </a:r>
          <a:r>
            <a:rPr lang="it-IT" sz="900" b="1" i="0" strike="noStrike">
              <a:solidFill>
                <a:srgbClr val="000000"/>
              </a:solidFill>
              <a:latin typeface="Arial"/>
              <a:cs typeface="Arial"/>
            </a:rPr>
            <a:t> </a:t>
          </a:r>
          <a:r>
            <a:rPr lang="it-IT" sz="900" b="0" i="0" strike="noStrike">
              <a:solidFill>
                <a:srgbClr val="000000"/>
              </a:solidFill>
              <a:latin typeface="Arial"/>
              <a:cs typeface="Arial"/>
            </a:rPr>
            <a:t>- Numero giorni di assenza del personale in servizio nel corso dell'anno</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1</xdr:row>
      <xdr:rowOff>52070</xdr:rowOff>
    </xdr:from>
    <xdr:to>
      <xdr:col>32</xdr:col>
      <xdr:colOff>0</xdr:colOff>
      <xdr:row>1</xdr:row>
      <xdr:rowOff>268341</xdr:rowOff>
    </xdr:to>
    <xdr:sp macro="" textlink="">
      <xdr:nvSpPr>
        <xdr:cNvPr id="32769" name="Testo 3">
          <a:extLst>
            <a:ext uri="{FF2B5EF4-FFF2-40B4-BE49-F238E27FC236}">
              <a16:creationId xmlns:a16="http://schemas.microsoft.com/office/drawing/2014/main" id="{00000000-0008-0000-0F00-000001800000}"/>
            </a:ext>
          </a:extLst>
        </xdr:cNvPr>
        <xdr:cNvSpPr txBox="1">
          <a:spLocks noChangeArrowheads="1"/>
        </xdr:cNvSpPr>
      </xdr:nvSpPr>
      <xdr:spPr bwMode="auto">
        <a:xfrm>
          <a:off x="0" y="457200"/>
          <a:ext cx="6637020" cy="23812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12 </a:t>
          </a:r>
          <a:r>
            <a:rPr lang="it-IT" sz="1200" b="0" i="0" strike="noStrike">
              <a:solidFill>
                <a:srgbClr val="000000"/>
              </a:solidFill>
              <a:latin typeface="Arial"/>
              <a:cs typeface="Arial"/>
            </a:rPr>
            <a:t>-</a:t>
          </a:r>
          <a:r>
            <a:rPr lang="it-IT" sz="1200" b="1" i="0" strike="noStrike">
              <a:solidFill>
                <a:srgbClr val="000000"/>
              </a:solidFill>
              <a:latin typeface="Arial"/>
              <a:cs typeface="Arial"/>
            </a:rPr>
            <a:t> </a:t>
          </a:r>
          <a:r>
            <a:rPr lang="it-IT" sz="800" b="0" i="0" strike="noStrike">
              <a:solidFill>
                <a:srgbClr val="000000"/>
              </a:solidFill>
              <a:latin typeface="Arial"/>
              <a:cs typeface="Arial"/>
            </a:rPr>
            <a:t> </a:t>
          </a:r>
          <a:r>
            <a:rPr lang="it-IT" sz="1000" b="0" i="0" strike="noStrike">
              <a:solidFill>
                <a:srgbClr val="000000"/>
              </a:solidFill>
              <a:latin typeface="Arial"/>
              <a:cs typeface="Arial"/>
            </a:rPr>
            <a:t>oneri annui  per voci retributive a carattere "stipendiale" corrisposte al personale  in servizio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1</xdr:row>
      <xdr:rowOff>48260</xdr:rowOff>
    </xdr:from>
    <xdr:to>
      <xdr:col>33</xdr:col>
      <xdr:colOff>144800</xdr:colOff>
      <xdr:row>1</xdr:row>
      <xdr:rowOff>271163</xdr:rowOff>
    </xdr:to>
    <xdr:sp macro="" textlink="">
      <xdr:nvSpPr>
        <xdr:cNvPr id="31745" name="Testo 3">
          <a:extLst>
            <a:ext uri="{FF2B5EF4-FFF2-40B4-BE49-F238E27FC236}">
              <a16:creationId xmlns:a16="http://schemas.microsoft.com/office/drawing/2014/main" id="{00000000-0008-0000-1000-0000017C0000}"/>
            </a:ext>
          </a:extLst>
        </xdr:cNvPr>
        <xdr:cNvSpPr txBox="1">
          <a:spLocks noChangeArrowheads="1"/>
        </xdr:cNvSpPr>
      </xdr:nvSpPr>
      <xdr:spPr bwMode="auto">
        <a:xfrm>
          <a:off x="0" y="504825"/>
          <a:ext cx="6278880" cy="2286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13 </a:t>
          </a:r>
          <a:r>
            <a:rPr lang="it-IT" sz="1200" b="0" i="0" strike="noStrike">
              <a:solidFill>
                <a:srgbClr val="000000"/>
              </a:solidFill>
              <a:latin typeface="Arial"/>
              <a:cs typeface="Arial"/>
            </a:rPr>
            <a:t>- </a:t>
          </a:r>
          <a:r>
            <a:rPr lang="it-IT" sz="1000" b="0" i="0" strike="noStrike">
              <a:solidFill>
                <a:srgbClr val="000000"/>
              </a:solidFill>
              <a:latin typeface="Arial"/>
              <a:cs typeface="Arial"/>
            </a:rPr>
            <a:t>oneri annui per indennità e compensi accessori corrisposti  al personale  in servizio (*)</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1</xdr:row>
      <xdr:rowOff>23495</xdr:rowOff>
    </xdr:from>
    <xdr:to>
      <xdr:col>0</xdr:col>
      <xdr:colOff>4341937</xdr:colOff>
      <xdr:row>1</xdr:row>
      <xdr:rowOff>252095</xdr:rowOff>
    </xdr:to>
    <xdr:sp macro="" textlink="">
      <xdr:nvSpPr>
        <xdr:cNvPr id="41986" name="Testo 4">
          <a:extLst>
            <a:ext uri="{FF2B5EF4-FFF2-40B4-BE49-F238E27FC236}">
              <a16:creationId xmlns:a16="http://schemas.microsoft.com/office/drawing/2014/main" id="{00000000-0008-0000-1100-000002A40000}"/>
            </a:ext>
          </a:extLst>
        </xdr:cNvPr>
        <xdr:cNvSpPr txBox="1">
          <a:spLocks noChangeArrowheads="1"/>
        </xdr:cNvSpPr>
      </xdr:nvSpPr>
      <xdr:spPr bwMode="auto">
        <a:xfrm>
          <a:off x="0" y="590550"/>
          <a:ext cx="4667250" cy="2286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14</a:t>
          </a:r>
          <a:r>
            <a:rPr lang="it-IT" sz="800" b="0" i="0" strike="noStrike">
              <a:solidFill>
                <a:srgbClr val="000000"/>
              </a:solidFill>
              <a:latin typeface="Arial"/>
              <a:cs typeface="Arial"/>
            </a:rPr>
            <a:t> -  </a:t>
          </a:r>
          <a:r>
            <a:rPr lang="it-IT" sz="1000" b="0" i="0" strike="noStrike">
              <a:solidFill>
                <a:srgbClr val="000000"/>
              </a:solidFill>
              <a:latin typeface="Arial"/>
              <a:cs typeface="Arial"/>
            </a:rPr>
            <a:t>Altri oneri che concorrono a formare il costo del lavoro  (*)</a:t>
          </a: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21</xdr:row>
          <xdr:rowOff>68580</xdr:rowOff>
        </xdr:from>
        <xdr:to>
          <xdr:col>4</xdr:col>
          <xdr:colOff>426720</xdr:colOff>
          <xdr:row>21</xdr:row>
          <xdr:rowOff>259080</xdr:rowOff>
        </xdr:to>
        <xdr:sp macro="" textlink="">
          <xdr:nvSpPr>
            <xdr:cNvPr id="42977" name="Drop Down 993" descr="No" hidden="1">
              <a:extLst>
                <a:ext uri="{63B3BB69-23CF-44E3-9099-C40C66FF867C}">
                  <a14:compatExt spid="_x0000_s42977"/>
                </a:ext>
                <a:ext uri="{FF2B5EF4-FFF2-40B4-BE49-F238E27FC236}">
                  <a16:creationId xmlns:a16="http://schemas.microsoft.com/office/drawing/2014/main" id="{00000000-0008-0000-1100-0000E1A70000}"/>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53640926-AAD7-44D8-BBD7-CCE9431645EC}">
                <a14:shadowObscured val="1"/>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id="{00000000-0008-0000-12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1^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id="{00000000-0008-0000-12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1^ FASCIA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38100</xdr:rowOff>
    </xdr:from>
    <xdr:to>
      <xdr:col>4</xdr:col>
      <xdr:colOff>0</xdr:colOff>
      <xdr:row>1</xdr:row>
      <xdr:rowOff>295275</xdr:rowOff>
    </xdr:to>
    <xdr:sp macro="" textlink="">
      <xdr:nvSpPr>
        <xdr:cNvPr id="2" name="Testo 9">
          <a:extLst>
            <a:ext uri="{FF2B5EF4-FFF2-40B4-BE49-F238E27FC236}">
              <a16:creationId xmlns:a16="http://schemas.microsoft.com/office/drawing/2014/main" id="{00000000-0008-0000-0100-000002000000}"/>
            </a:ext>
          </a:extLst>
        </xdr:cNvPr>
        <xdr:cNvSpPr txBox="1">
          <a:spLocks noChangeArrowheads="1"/>
        </xdr:cNvSpPr>
      </xdr:nvSpPr>
      <xdr:spPr bwMode="auto">
        <a:xfrm>
          <a:off x="0" y="434340"/>
          <a:ext cx="993648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TFAM </a:t>
          </a:r>
          <a:r>
            <a:rPr lang="it-IT" sz="800" b="0" i="0" strike="noStrike">
              <a:solidFill>
                <a:srgbClr val="000000"/>
              </a:solidFill>
              <a:latin typeface="Arial"/>
              <a:cs typeface="Arial"/>
            </a:rPr>
            <a:t> -  </a:t>
          </a:r>
          <a:r>
            <a:rPr lang="it-IT" sz="1000" b="0" i="0" strike="noStrike">
              <a:solidFill>
                <a:srgbClr val="000000"/>
              </a:solidFill>
              <a:latin typeface="Arial"/>
              <a:cs typeface="Arial"/>
            </a:rPr>
            <a:t>Famiglie professionali </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id="{00000000-0008-0000-13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2^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id="{00000000-0008-0000-13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2^ FASCIA</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id="{00000000-0008-0000-14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MEDICI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id="{00000000-0008-0000-14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MEDICI</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id="{00000000-0008-0000-15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PROFESSIONISTI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id="{00000000-0008-0000-15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PROFESSIONISTI</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id="{00000000-0008-0000-16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PERSONALE NON DIRIGENTE</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id="{00000000-0008-0000-16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PERSONALE NON DIRIGENTE</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1</xdr:row>
      <xdr:rowOff>23495</xdr:rowOff>
    </xdr:from>
    <xdr:to>
      <xdr:col>0</xdr:col>
      <xdr:colOff>4342187</xdr:colOff>
      <xdr:row>1</xdr:row>
      <xdr:rowOff>252095</xdr:rowOff>
    </xdr:to>
    <xdr:sp macro="" textlink="">
      <xdr:nvSpPr>
        <xdr:cNvPr id="2" name="Testo 4">
          <a:extLst>
            <a:ext uri="{FF2B5EF4-FFF2-40B4-BE49-F238E27FC236}">
              <a16:creationId xmlns:a16="http://schemas.microsoft.com/office/drawing/2014/main" id="{00000000-0008-0000-1C00-000002000000}"/>
            </a:ext>
          </a:extLst>
        </xdr:cNvPr>
        <xdr:cNvSpPr txBox="1">
          <a:spLocks noChangeArrowheads="1"/>
        </xdr:cNvSpPr>
      </xdr:nvSpPr>
      <xdr:spPr bwMode="auto">
        <a:xfrm>
          <a:off x="0" y="590550"/>
          <a:ext cx="4658836" cy="2286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RICONCILIAZIONE</a:t>
          </a:r>
          <a:endParaRPr lang="it-IT" sz="1000" b="0" i="0" strike="noStrike">
            <a:solidFill>
              <a:srgbClr val="000000"/>
            </a:solidFill>
            <a:latin typeface="Arial"/>
            <a:cs typeface="Aria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10</xdr:col>
      <xdr:colOff>0</xdr:colOff>
      <xdr:row>0</xdr:row>
      <xdr:rowOff>0</xdr:rowOff>
    </xdr:from>
    <xdr:to>
      <xdr:col>10</xdr:col>
      <xdr:colOff>0</xdr:colOff>
      <xdr:row>0</xdr:row>
      <xdr:rowOff>0</xdr:rowOff>
    </xdr:to>
    <xdr:sp macro="" textlink="">
      <xdr:nvSpPr>
        <xdr:cNvPr id="47105" name="Testo 4">
          <a:extLst>
            <a:ext uri="{FF2B5EF4-FFF2-40B4-BE49-F238E27FC236}">
              <a16:creationId xmlns:a16="http://schemas.microsoft.com/office/drawing/2014/main" id="{00000000-0008-0000-1E00-000001B80000}"/>
            </a:ext>
          </a:extLst>
        </xdr:cNvPr>
        <xdr:cNvSpPr txBox="1">
          <a:spLocks noChangeArrowheads="1"/>
        </xdr:cNvSpPr>
      </xdr:nvSpPr>
      <xdr:spPr bwMode="auto">
        <a:xfrm>
          <a:off x="892492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10</xdr:col>
      <xdr:colOff>0</xdr:colOff>
      <xdr:row>0</xdr:row>
      <xdr:rowOff>0</xdr:rowOff>
    </xdr:from>
    <xdr:to>
      <xdr:col>10</xdr:col>
      <xdr:colOff>0</xdr:colOff>
      <xdr:row>0</xdr:row>
      <xdr:rowOff>0</xdr:rowOff>
    </xdr:to>
    <xdr:sp macro="" textlink="">
      <xdr:nvSpPr>
        <xdr:cNvPr id="47108" name="Testo 2">
          <a:extLst>
            <a:ext uri="{FF2B5EF4-FFF2-40B4-BE49-F238E27FC236}">
              <a16:creationId xmlns:a16="http://schemas.microsoft.com/office/drawing/2014/main" id="{00000000-0008-0000-1E00-000004B80000}"/>
            </a:ext>
          </a:extLst>
        </xdr:cNvPr>
        <xdr:cNvSpPr>
          <a:spLocks noChangeArrowheads="1"/>
        </xdr:cNvSpPr>
      </xdr:nvSpPr>
      <xdr:spPr bwMode="auto">
        <a:xfrm>
          <a:off x="892492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16</xdr:col>
      <xdr:colOff>0</xdr:colOff>
      <xdr:row>0</xdr:row>
      <xdr:rowOff>0</xdr:rowOff>
    </xdr:from>
    <xdr:to>
      <xdr:col>16</xdr:col>
      <xdr:colOff>0</xdr:colOff>
      <xdr:row>0</xdr:row>
      <xdr:rowOff>0</xdr:rowOff>
    </xdr:to>
    <xdr:sp macro="" textlink="">
      <xdr:nvSpPr>
        <xdr:cNvPr id="48129" name="Testo 4">
          <a:extLst>
            <a:ext uri="{FF2B5EF4-FFF2-40B4-BE49-F238E27FC236}">
              <a16:creationId xmlns:a16="http://schemas.microsoft.com/office/drawing/2014/main" id="{00000000-0008-0000-2000-000001BC0000}"/>
            </a:ext>
          </a:extLst>
        </xdr:cNvPr>
        <xdr:cNvSpPr txBox="1">
          <a:spLocks noChangeArrowheads="1"/>
        </xdr:cNvSpPr>
      </xdr:nvSpPr>
      <xdr:spPr bwMode="auto">
        <a:xfrm>
          <a:off x="1145857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16</xdr:col>
      <xdr:colOff>0</xdr:colOff>
      <xdr:row>0</xdr:row>
      <xdr:rowOff>0</xdr:rowOff>
    </xdr:from>
    <xdr:to>
      <xdr:col>16</xdr:col>
      <xdr:colOff>0</xdr:colOff>
      <xdr:row>0</xdr:row>
      <xdr:rowOff>0</xdr:rowOff>
    </xdr:to>
    <xdr:sp macro="" textlink="">
      <xdr:nvSpPr>
        <xdr:cNvPr id="48132" name="Testo 2">
          <a:extLst>
            <a:ext uri="{FF2B5EF4-FFF2-40B4-BE49-F238E27FC236}">
              <a16:creationId xmlns:a16="http://schemas.microsoft.com/office/drawing/2014/main" id="{00000000-0008-0000-2000-000004BC0000}"/>
            </a:ext>
          </a:extLst>
        </xdr:cNvPr>
        <xdr:cNvSpPr>
          <a:spLocks noChangeArrowheads="1"/>
        </xdr:cNvSpPr>
      </xdr:nvSpPr>
      <xdr:spPr bwMode="auto">
        <a:xfrm>
          <a:off x="1145857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0</xdr:colOff>
      <xdr:row>0</xdr:row>
      <xdr:rowOff>0</xdr:rowOff>
    </xdr:to>
    <xdr:sp macro="" textlink="">
      <xdr:nvSpPr>
        <xdr:cNvPr id="49153" name="Testo 4">
          <a:extLst>
            <a:ext uri="{FF2B5EF4-FFF2-40B4-BE49-F238E27FC236}">
              <a16:creationId xmlns:a16="http://schemas.microsoft.com/office/drawing/2014/main" id="{00000000-0008-0000-2100-000001C00000}"/>
            </a:ext>
          </a:extLst>
        </xdr:cNvPr>
        <xdr:cNvSpPr txBox="1">
          <a:spLocks noChangeArrowheads="1"/>
        </xdr:cNvSpPr>
      </xdr:nvSpPr>
      <xdr:spPr bwMode="auto">
        <a:xfrm>
          <a:off x="745807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9156" name="Testo 2">
          <a:extLst>
            <a:ext uri="{FF2B5EF4-FFF2-40B4-BE49-F238E27FC236}">
              <a16:creationId xmlns:a16="http://schemas.microsoft.com/office/drawing/2014/main" id="{00000000-0008-0000-2100-000004C00000}"/>
            </a:ext>
          </a:extLst>
        </xdr:cNvPr>
        <xdr:cNvSpPr>
          <a:spLocks noChangeArrowheads="1"/>
        </xdr:cNvSpPr>
      </xdr:nvSpPr>
      <xdr:spPr bwMode="auto">
        <a:xfrm>
          <a:off x="745807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0</xdr:colOff>
      <xdr:row>0</xdr:row>
      <xdr:rowOff>0</xdr:rowOff>
    </xdr:from>
    <xdr:to>
      <xdr:col>8</xdr:col>
      <xdr:colOff>0</xdr:colOff>
      <xdr:row>0</xdr:row>
      <xdr:rowOff>0</xdr:rowOff>
    </xdr:to>
    <xdr:sp macro="" textlink="">
      <xdr:nvSpPr>
        <xdr:cNvPr id="2" name="Testo 4">
          <a:extLst>
            <a:ext uri="{FF2B5EF4-FFF2-40B4-BE49-F238E27FC236}">
              <a16:creationId xmlns:a16="http://schemas.microsoft.com/office/drawing/2014/main" id="{00000000-0008-0000-2200-000002000000}"/>
            </a:ext>
          </a:extLst>
        </xdr:cNvPr>
        <xdr:cNvSpPr txBox="1">
          <a:spLocks noChangeArrowheads="1"/>
        </xdr:cNvSpPr>
      </xdr:nvSpPr>
      <xdr:spPr bwMode="auto">
        <a:xfrm>
          <a:off x="1041082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8</xdr:col>
      <xdr:colOff>0</xdr:colOff>
      <xdr:row>0</xdr:row>
      <xdr:rowOff>0</xdr:rowOff>
    </xdr:from>
    <xdr:to>
      <xdr:col>8</xdr:col>
      <xdr:colOff>0</xdr:colOff>
      <xdr:row>0</xdr:row>
      <xdr:rowOff>0</xdr:rowOff>
    </xdr:to>
    <xdr:sp macro="" textlink="">
      <xdr:nvSpPr>
        <xdr:cNvPr id="3" name="Testo 2">
          <a:extLst>
            <a:ext uri="{FF2B5EF4-FFF2-40B4-BE49-F238E27FC236}">
              <a16:creationId xmlns:a16="http://schemas.microsoft.com/office/drawing/2014/main" id="{00000000-0008-0000-2200-000003000000}"/>
            </a:ext>
          </a:extLst>
        </xdr:cNvPr>
        <xdr:cNvSpPr>
          <a:spLocks noChangeArrowheads="1"/>
        </xdr:cNvSpPr>
      </xdr:nvSpPr>
      <xdr:spPr bwMode="auto">
        <a:xfrm>
          <a:off x="1041082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sp macro="" textlink="">
      <xdr:nvSpPr>
        <xdr:cNvPr id="51201" name="Testo 4">
          <a:extLst>
            <a:ext uri="{FF2B5EF4-FFF2-40B4-BE49-F238E27FC236}">
              <a16:creationId xmlns:a16="http://schemas.microsoft.com/office/drawing/2014/main" id="{00000000-0008-0000-2300-000001C80000}"/>
            </a:ext>
          </a:extLst>
        </xdr:cNvPr>
        <xdr:cNvSpPr txBox="1">
          <a:spLocks noChangeArrowheads="1"/>
        </xdr:cNvSpPr>
      </xdr:nvSpPr>
      <xdr:spPr bwMode="auto">
        <a:xfrm>
          <a:off x="6305550"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a:p>
          <a:pPr algn="ctr" rtl="0">
            <a:defRPr sz="1000"/>
          </a:pPr>
          <a:endParaRPr lang="it-IT" sz="1000" b="1" i="0" strike="noStrike">
            <a:solidFill>
              <a:srgbClr val="000000"/>
            </a:solidFill>
            <a:latin typeface="Arial"/>
            <a:cs typeface="Arial"/>
          </a:endParaRPr>
        </a:p>
      </xdr:txBody>
    </xdr:sp>
    <xdr:clientData/>
  </xdr:twoCellAnchor>
  <xdr:twoCellAnchor>
    <xdr:from>
      <xdr:col>4</xdr:col>
      <xdr:colOff>0</xdr:colOff>
      <xdr:row>0</xdr:row>
      <xdr:rowOff>0</xdr:rowOff>
    </xdr:from>
    <xdr:to>
      <xdr:col>4</xdr:col>
      <xdr:colOff>0</xdr:colOff>
      <xdr:row>0</xdr:row>
      <xdr:rowOff>0</xdr:rowOff>
    </xdr:to>
    <xdr:sp macro="" textlink="">
      <xdr:nvSpPr>
        <xdr:cNvPr id="51204" name="Testo 2">
          <a:extLst>
            <a:ext uri="{FF2B5EF4-FFF2-40B4-BE49-F238E27FC236}">
              <a16:creationId xmlns:a16="http://schemas.microsoft.com/office/drawing/2014/main" id="{00000000-0008-0000-2300-000004C80000}"/>
            </a:ext>
          </a:extLst>
        </xdr:cNvPr>
        <xdr:cNvSpPr>
          <a:spLocks noChangeArrowheads="1"/>
        </xdr:cNvSpPr>
      </xdr:nvSpPr>
      <xdr:spPr bwMode="auto">
        <a:xfrm>
          <a:off x="6305550"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xdr:colOff>
      <xdr:row>1</xdr:row>
      <xdr:rowOff>6985</xdr:rowOff>
    </xdr:from>
    <xdr:to>
      <xdr:col>30</xdr:col>
      <xdr:colOff>430055</xdr:colOff>
      <xdr:row>1</xdr:row>
      <xdr:rowOff>269895</xdr:rowOff>
    </xdr:to>
    <xdr:sp macro="" textlink="">
      <xdr:nvSpPr>
        <xdr:cNvPr id="2057" name="Testo 9">
          <a:extLst>
            <a:ext uri="{FF2B5EF4-FFF2-40B4-BE49-F238E27FC236}">
              <a16:creationId xmlns:a16="http://schemas.microsoft.com/office/drawing/2014/main" id="{00000000-0008-0000-0200-000009080000}"/>
            </a:ext>
          </a:extLst>
        </xdr:cNvPr>
        <xdr:cNvSpPr txBox="1">
          <a:spLocks noChangeArrowheads="1"/>
        </xdr:cNvSpPr>
      </xdr:nvSpPr>
      <xdr:spPr bwMode="auto">
        <a:xfrm>
          <a:off x="9525" y="340995"/>
          <a:ext cx="6360796" cy="2476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 </a:t>
          </a:r>
          <a:r>
            <a:rPr lang="it-IT" sz="1200" b="0" i="0" strike="noStrike">
              <a:solidFill>
                <a:srgbClr val="000000"/>
              </a:solidFill>
              <a:latin typeface="Arial"/>
              <a:cs typeface="Arial"/>
            </a:rPr>
            <a:t>- </a:t>
          </a:r>
          <a:r>
            <a:rPr lang="it-IT" sz="1000" b="0" i="0" strike="noStrike">
              <a:solidFill>
                <a:srgbClr val="000000"/>
              </a:solidFill>
              <a:latin typeface="Arial"/>
              <a:cs typeface="Arial"/>
            </a:rPr>
            <a:t>Personale dipendente a tempo indeterminato e personale dirigente in servizio al 31 dicembre</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sp macro="" textlink="">
      <xdr:nvSpPr>
        <xdr:cNvPr id="2" name="Testo 4">
          <a:extLst>
            <a:ext uri="{FF2B5EF4-FFF2-40B4-BE49-F238E27FC236}">
              <a16:creationId xmlns:a16="http://schemas.microsoft.com/office/drawing/2014/main" id="{00000000-0008-0000-2C00-000002000000}"/>
            </a:ext>
          </a:extLst>
        </xdr:cNvPr>
        <xdr:cNvSpPr txBox="1">
          <a:spLocks noChangeArrowheads="1"/>
        </xdr:cNvSpPr>
      </xdr:nvSpPr>
      <xdr:spPr bwMode="auto">
        <a:xfrm>
          <a:off x="8305800"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a:p>
          <a:pPr algn="ctr" rtl="0">
            <a:defRPr sz="1000"/>
          </a:pPr>
          <a:endParaRPr lang="it-IT" sz="1000" b="1" i="0" strike="noStrike">
            <a:solidFill>
              <a:srgbClr val="000000"/>
            </a:solidFill>
            <a:latin typeface="Arial"/>
            <a:cs typeface="Arial"/>
          </a:endParaRPr>
        </a:p>
      </xdr:txBody>
    </xdr:sp>
    <xdr:clientData/>
  </xdr:twoCellAnchor>
  <xdr:twoCellAnchor>
    <xdr:from>
      <xdr:col>4</xdr:col>
      <xdr:colOff>0</xdr:colOff>
      <xdr:row>0</xdr:row>
      <xdr:rowOff>0</xdr:rowOff>
    </xdr:from>
    <xdr:to>
      <xdr:col>4</xdr:col>
      <xdr:colOff>0</xdr:colOff>
      <xdr:row>0</xdr:row>
      <xdr:rowOff>0</xdr:rowOff>
    </xdr:to>
    <xdr:sp macro="" textlink="">
      <xdr:nvSpPr>
        <xdr:cNvPr id="3" name="Testo 2">
          <a:extLst>
            <a:ext uri="{FF2B5EF4-FFF2-40B4-BE49-F238E27FC236}">
              <a16:creationId xmlns:a16="http://schemas.microsoft.com/office/drawing/2014/main" id="{00000000-0008-0000-2C00-000003000000}"/>
            </a:ext>
          </a:extLst>
        </xdr:cNvPr>
        <xdr:cNvSpPr>
          <a:spLocks noChangeArrowheads="1"/>
        </xdr:cNvSpPr>
      </xdr:nvSpPr>
      <xdr:spPr bwMode="auto">
        <a:xfrm>
          <a:off x="8305800"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8</xdr:col>
      <xdr:colOff>0</xdr:colOff>
      <xdr:row>0</xdr:row>
      <xdr:rowOff>0</xdr:rowOff>
    </xdr:from>
    <xdr:to>
      <xdr:col>8</xdr:col>
      <xdr:colOff>0</xdr:colOff>
      <xdr:row>0</xdr:row>
      <xdr:rowOff>0</xdr:rowOff>
    </xdr:to>
    <xdr:sp macro="" textlink="">
      <xdr:nvSpPr>
        <xdr:cNvPr id="2" name="Testo 4">
          <a:extLst>
            <a:ext uri="{FF2B5EF4-FFF2-40B4-BE49-F238E27FC236}">
              <a16:creationId xmlns:a16="http://schemas.microsoft.com/office/drawing/2014/main" id="{00000000-0008-0000-2E00-000002000000}"/>
            </a:ext>
          </a:extLst>
        </xdr:cNvPr>
        <xdr:cNvSpPr txBox="1">
          <a:spLocks noChangeArrowheads="1"/>
        </xdr:cNvSpPr>
      </xdr:nvSpPr>
      <xdr:spPr bwMode="auto">
        <a:xfrm>
          <a:off x="1528762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8</xdr:col>
      <xdr:colOff>0</xdr:colOff>
      <xdr:row>0</xdr:row>
      <xdr:rowOff>0</xdr:rowOff>
    </xdr:from>
    <xdr:to>
      <xdr:col>8</xdr:col>
      <xdr:colOff>0</xdr:colOff>
      <xdr:row>0</xdr:row>
      <xdr:rowOff>0</xdr:rowOff>
    </xdr:to>
    <xdr:sp macro="" textlink="">
      <xdr:nvSpPr>
        <xdr:cNvPr id="3" name="Testo 2">
          <a:extLst>
            <a:ext uri="{FF2B5EF4-FFF2-40B4-BE49-F238E27FC236}">
              <a16:creationId xmlns:a16="http://schemas.microsoft.com/office/drawing/2014/main" id="{00000000-0008-0000-2E00-000003000000}"/>
            </a:ext>
          </a:extLst>
        </xdr:cNvPr>
        <xdr:cNvSpPr>
          <a:spLocks noChangeArrowheads="1"/>
        </xdr:cNvSpPr>
      </xdr:nvSpPr>
      <xdr:spPr bwMode="auto">
        <a:xfrm>
          <a:off x="1528762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9524</xdr:colOff>
      <xdr:row>1</xdr:row>
      <xdr:rowOff>38100</xdr:rowOff>
    </xdr:from>
    <xdr:to>
      <xdr:col>47</xdr:col>
      <xdr:colOff>0</xdr:colOff>
      <xdr:row>1</xdr:row>
      <xdr:rowOff>295275</xdr:rowOff>
    </xdr:to>
    <xdr:sp macro="" textlink="">
      <xdr:nvSpPr>
        <xdr:cNvPr id="2" name="Testo 13">
          <a:extLst>
            <a:ext uri="{FF2B5EF4-FFF2-40B4-BE49-F238E27FC236}">
              <a16:creationId xmlns:a16="http://schemas.microsoft.com/office/drawing/2014/main" id="{00000000-0008-0000-0300-000002000000}"/>
            </a:ext>
          </a:extLst>
        </xdr:cNvPr>
        <xdr:cNvSpPr txBox="1">
          <a:spLocks noChangeArrowheads="1"/>
        </xdr:cNvSpPr>
      </xdr:nvSpPr>
      <xdr:spPr bwMode="auto">
        <a:xfrm>
          <a:off x="9524" y="586740"/>
          <a:ext cx="11824336"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1E</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1000">
              <a:effectLst/>
              <a:latin typeface="+mn-lt"/>
              <a:ea typeface="+mn-ea"/>
              <a:cs typeface="+mn-cs"/>
            </a:rPr>
            <a:t>Distribuzione del personale al 31 dicembre secondo il numero dei differenziali stipendiali / differenziali economici di professionalità / posizioni stipendiali / fasce retributive</a:t>
          </a:r>
          <a:endParaRPr lang="it-IT" sz="1000" b="0" i="0" strike="noStrike">
            <a:solidFill>
              <a:srgbClr val="000000"/>
            </a:solidFill>
            <a:latin typeface="Arial"/>
            <a:cs typeface="Aria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31750</xdr:rowOff>
    </xdr:from>
    <xdr:to>
      <xdr:col>34</xdr:col>
      <xdr:colOff>2545</xdr:colOff>
      <xdr:row>1</xdr:row>
      <xdr:rowOff>291412</xdr:rowOff>
    </xdr:to>
    <xdr:sp macro="" textlink="">
      <xdr:nvSpPr>
        <xdr:cNvPr id="2" name="Testo 9">
          <a:extLst>
            <a:ext uri="{FF2B5EF4-FFF2-40B4-BE49-F238E27FC236}">
              <a16:creationId xmlns:a16="http://schemas.microsoft.com/office/drawing/2014/main" id="{00000000-0008-0000-0400-000002000000}"/>
            </a:ext>
          </a:extLst>
        </xdr:cNvPr>
        <xdr:cNvSpPr txBox="1">
          <a:spLocks noChangeArrowheads="1"/>
        </xdr:cNvSpPr>
      </xdr:nvSpPr>
      <xdr:spPr bwMode="auto">
        <a:xfrm>
          <a:off x="0" y="580390"/>
          <a:ext cx="16842745" cy="259662"/>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2 </a:t>
          </a:r>
          <a:r>
            <a:rPr lang="it-IT" sz="800" b="0" i="0" strike="noStrike">
              <a:solidFill>
                <a:srgbClr val="000000"/>
              </a:solidFill>
              <a:latin typeface="Arial"/>
              <a:cs typeface="Arial"/>
            </a:rPr>
            <a:t> -  </a:t>
          </a:r>
          <a:r>
            <a:rPr lang="it-IT" sz="1000" b="0" i="0" strike="noStrike">
              <a:solidFill>
                <a:srgbClr val="000000"/>
              </a:solidFill>
              <a:latin typeface="Arial"/>
              <a:cs typeface="Arial"/>
            </a:rPr>
            <a:t>Personale con contratto di lavoro flessibile </a:t>
          </a:r>
        </a:p>
      </xdr:txBody>
    </xdr:sp>
    <xdr:clientData/>
  </xdr:twoCellAnchor>
  <xdr:twoCellAnchor>
    <xdr:from>
      <xdr:col>0</xdr:col>
      <xdr:colOff>0</xdr:colOff>
      <xdr:row>18</xdr:row>
      <xdr:rowOff>31750</xdr:rowOff>
    </xdr:from>
    <xdr:to>
      <xdr:col>35</xdr:col>
      <xdr:colOff>569375</xdr:colOff>
      <xdr:row>18</xdr:row>
      <xdr:rowOff>291412</xdr:rowOff>
    </xdr:to>
    <xdr:sp macro="" textlink="">
      <xdr:nvSpPr>
        <xdr:cNvPr id="3" name="Testo 9">
          <a:extLst>
            <a:ext uri="{FF2B5EF4-FFF2-40B4-BE49-F238E27FC236}">
              <a16:creationId xmlns:a16="http://schemas.microsoft.com/office/drawing/2014/main" id="{00000000-0008-0000-0400-000003000000}"/>
            </a:ext>
          </a:extLst>
        </xdr:cNvPr>
        <xdr:cNvSpPr txBox="1">
          <a:spLocks noChangeArrowheads="1"/>
        </xdr:cNvSpPr>
      </xdr:nvSpPr>
      <xdr:spPr bwMode="auto">
        <a:xfrm>
          <a:off x="0" y="4481830"/>
          <a:ext cx="17828679" cy="259662"/>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2 </a:t>
          </a:r>
          <a:r>
            <a:rPr lang="it-IT" sz="800" b="0" i="0" strike="noStrike">
              <a:solidFill>
                <a:srgbClr val="000000"/>
              </a:solidFill>
              <a:latin typeface="Arial"/>
              <a:cs typeface="Arial"/>
            </a:rPr>
            <a:t> -  </a:t>
          </a:r>
          <a:r>
            <a:rPr lang="it-IT" sz="1000" b="0" i="0" strike="noStrike">
              <a:solidFill>
                <a:srgbClr val="000000"/>
              </a:solidFill>
              <a:latin typeface="Arial"/>
              <a:cs typeface="Arial"/>
            </a:rPr>
            <a:t>Personale con modalità di lavoro flessibile </a:t>
          </a:r>
        </a:p>
      </xdr:txBody>
    </xdr:sp>
    <xdr:clientData/>
  </xdr:twoCellAnchor>
  <mc:AlternateContent xmlns:mc="http://schemas.openxmlformats.org/markup-compatibility/2006">
    <mc:Choice xmlns:a14="http://schemas.microsoft.com/office/drawing/2010/main" Requires="a14">
      <xdr:twoCellAnchor editAs="oneCell">
        <xdr:from>
          <xdr:col>29</xdr:col>
          <xdr:colOff>182880</xdr:colOff>
          <xdr:row>14</xdr:row>
          <xdr:rowOff>144780</xdr:rowOff>
        </xdr:from>
        <xdr:to>
          <xdr:col>30</xdr:col>
          <xdr:colOff>251460</xdr:colOff>
          <xdr:row>15</xdr:row>
          <xdr:rowOff>167640</xdr:rowOff>
        </xdr:to>
        <xdr:sp macro="" textlink="">
          <xdr:nvSpPr>
            <xdr:cNvPr id="3390465" name="Drop Down 1" descr="No" hidden="1">
              <a:extLst>
                <a:ext uri="{63B3BB69-23CF-44E3-9099-C40C66FF867C}">
                  <a14:compatExt spid="_x0000_s3390465"/>
                </a:ext>
                <a:ext uri="{FF2B5EF4-FFF2-40B4-BE49-F238E27FC236}">
                  <a16:creationId xmlns:a16="http://schemas.microsoft.com/office/drawing/2014/main" id="{00000000-0008-0000-0400-000001BC3300}"/>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53640926-AAD7-44D8-BBD7-CCE9431645EC}">
                <a14:shadowObscured val="1"/>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7620</xdr:colOff>
      <xdr:row>2</xdr:row>
      <xdr:rowOff>168275</xdr:rowOff>
    </xdr:from>
    <xdr:to>
      <xdr:col>11</xdr:col>
      <xdr:colOff>0</xdr:colOff>
      <xdr:row>3</xdr:row>
      <xdr:rowOff>125505</xdr:rowOff>
    </xdr:to>
    <xdr:sp macro="" textlink="">
      <xdr:nvSpPr>
        <xdr:cNvPr id="74753" name="Testo 9">
          <a:extLst>
            <a:ext uri="{FF2B5EF4-FFF2-40B4-BE49-F238E27FC236}">
              <a16:creationId xmlns:a16="http://schemas.microsoft.com/office/drawing/2014/main" id="{00000000-0008-0000-0500-000001240100}"/>
            </a:ext>
          </a:extLst>
        </xdr:cNvPr>
        <xdr:cNvSpPr txBox="1">
          <a:spLocks noChangeArrowheads="1"/>
        </xdr:cNvSpPr>
      </xdr:nvSpPr>
      <xdr:spPr bwMode="auto">
        <a:xfrm>
          <a:off x="361950" y="590550"/>
          <a:ext cx="584835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2A</a:t>
          </a:r>
          <a:r>
            <a:rPr lang="it-IT" sz="800" b="0" i="0" strike="noStrike">
              <a:solidFill>
                <a:srgbClr val="000000"/>
              </a:solidFill>
              <a:latin typeface="Arial"/>
              <a:cs typeface="Arial"/>
            </a:rPr>
            <a:t> - </a:t>
          </a:r>
          <a:r>
            <a:rPr lang="it-IT" sz="1000" b="0" i="0" strike="noStrike">
              <a:solidFill>
                <a:srgbClr val="000000"/>
              </a:solidFill>
              <a:latin typeface="Arial"/>
              <a:cs typeface="Arial"/>
            </a:rPr>
            <a:t>Distribuzione del personale a tempo determinato e collaborazioni professionali per anzianità di rapporto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7620</xdr:colOff>
      <xdr:row>1</xdr:row>
      <xdr:rowOff>23495</xdr:rowOff>
    </xdr:from>
    <xdr:to>
      <xdr:col>6</xdr:col>
      <xdr:colOff>12708</xdr:colOff>
      <xdr:row>1</xdr:row>
      <xdr:rowOff>286944</xdr:rowOff>
    </xdr:to>
    <xdr:sp macro="" textlink="">
      <xdr:nvSpPr>
        <xdr:cNvPr id="37889" name="Testo 13">
          <a:extLst>
            <a:ext uri="{FF2B5EF4-FFF2-40B4-BE49-F238E27FC236}">
              <a16:creationId xmlns:a16="http://schemas.microsoft.com/office/drawing/2014/main" id="{00000000-0008-0000-0600-000001940000}"/>
            </a:ext>
          </a:extLst>
        </xdr:cNvPr>
        <xdr:cNvSpPr txBox="1">
          <a:spLocks noChangeArrowheads="1"/>
        </xdr:cNvSpPr>
      </xdr:nvSpPr>
      <xdr:spPr bwMode="auto">
        <a:xfrm>
          <a:off x="9525" y="590550"/>
          <a:ext cx="558165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3</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1000" b="0" i="0" strike="noStrike">
              <a:solidFill>
                <a:srgbClr val="000000"/>
              </a:solidFill>
              <a:latin typeface="Arial"/>
              <a:cs typeface="Arial"/>
            </a:rPr>
            <a:t>Personale in posizione di comando/distacco e fuori ruolo al 31 dicembre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xdr:colOff>
      <xdr:row>1</xdr:row>
      <xdr:rowOff>38100</xdr:rowOff>
    </xdr:from>
    <xdr:to>
      <xdr:col>22</xdr:col>
      <xdr:colOff>617220</xdr:colOff>
      <xdr:row>1</xdr:row>
      <xdr:rowOff>464820</xdr:rowOff>
    </xdr:to>
    <xdr:sp macro="" textlink="">
      <xdr:nvSpPr>
        <xdr:cNvPr id="2" name="Testo 9">
          <a:extLst>
            <a:ext uri="{FF2B5EF4-FFF2-40B4-BE49-F238E27FC236}">
              <a16:creationId xmlns:a16="http://schemas.microsoft.com/office/drawing/2014/main" id="{00000000-0008-0000-0700-000002000000}"/>
            </a:ext>
          </a:extLst>
        </xdr:cNvPr>
        <xdr:cNvSpPr txBox="1">
          <a:spLocks noChangeArrowheads="1"/>
        </xdr:cNvSpPr>
      </xdr:nvSpPr>
      <xdr:spPr bwMode="auto">
        <a:xfrm>
          <a:off x="9525" y="167640"/>
          <a:ext cx="7419975" cy="9144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4 </a:t>
          </a:r>
          <a:r>
            <a:rPr lang="it-IT" sz="1000" b="1" i="0" strike="noStrike">
              <a:solidFill>
                <a:srgbClr val="000000"/>
              </a:solidFill>
              <a:latin typeface="Arial"/>
              <a:cs typeface="Arial"/>
            </a:rPr>
            <a:t>- </a:t>
          </a:r>
          <a:r>
            <a:rPr lang="it-IT" sz="1000" b="0" i="0" strike="noStrike">
              <a:solidFill>
                <a:srgbClr val="000000"/>
              </a:solidFill>
              <a:latin typeface="Arial"/>
              <a:cs typeface="Arial"/>
            </a:rPr>
            <a:t>Passaggi di qualifica / posizione economica / differenziale stipendiale / differenziale economico di professionalità / profilo del personale a tempo indeterminato e dirigente nel corso dell'anno</a:t>
          </a:r>
        </a:p>
        <a:p>
          <a:pPr algn="l" rtl="0">
            <a:defRPr sz="1000"/>
          </a:pPr>
          <a:endParaRPr lang="it-IT" sz="1000" b="0" i="0" strike="noStrike">
            <a:solidFill>
              <a:srgbClr val="000000"/>
            </a:solidFill>
            <a:latin typeface="Arial"/>
            <a:cs typeface="Arial"/>
          </a:endParaRPr>
        </a:p>
        <a:p>
          <a:pPr algn="l" rtl="0">
            <a:defRPr sz="1000"/>
          </a:pPr>
          <a:endParaRPr lang="it-IT" sz="1000" b="0" i="0" strike="noStrike">
            <a:solidFill>
              <a:srgbClr val="000000"/>
            </a:solidFill>
            <a:latin typeface="Arial"/>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1</xdr:row>
      <xdr:rowOff>19685</xdr:rowOff>
    </xdr:from>
    <xdr:to>
      <xdr:col>7</xdr:col>
      <xdr:colOff>570362</xdr:colOff>
      <xdr:row>1</xdr:row>
      <xdr:rowOff>295810</xdr:rowOff>
    </xdr:to>
    <xdr:sp macro="" textlink="">
      <xdr:nvSpPr>
        <xdr:cNvPr id="25601" name="Testo 13">
          <a:extLst>
            <a:ext uri="{FF2B5EF4-FFF2-40B4-BE49-F238E27FC236}">
              <a16:creationId xmlns:a16="http://schemas.microsoft.com/office/drawing/2014/main" id="{00000000-0008-0000-0800-000001640000}"/>
            </a:ext>
          </a:extLst>
        </xdr:cNvPr>
        <xdr:cNvSpPr txBox="1">
          <a:spLocks noChangeArrowheads="1"/>
        </xdr:cNvSpPr>
      </xdr:nvSpPr>
      <xdr:spPr bwMode="auto">
        <a:xfrm>
          <a:off x="0" y="581025"/>
          <a:ext cx="670560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5</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900" b="0" i="0" strike="noStrike">
              <a:solidFill>
                <a:srgbClr val="000000"/>
              </a:solidFill>
              <a:latin typeface="Arial"/>
              <a:cs typeface="Arial"/>
            </a:rPr>
            <a:t>Personale a tempo indeterminato  e personale dirigente cessato dal servizio nel corso dell'anno</a:t>
          </a:r>
        </a:p>
      </xdr:txBody>
    </xdr:sp>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trlProp" Target="../ctrlProps/ctrlProp2.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18">
    <pageSetUpPr fitToPage="1"/>
  </sheetPr>
  <dimension ref="A1:K368"/>
  <sheetViews>
    <sheetView showGridLines="0" tabSelected="1" zoomScale="90" zoomScaleNormal="90" workbookViewId="0">
      <selection activeCell="E10" sqref="E10:G10"/>
    </sheetView>
  </sheetViews>
  <sheetFormatPr defaultColWidth="6.28515625" defaultRowHeight="13.2" x14ac:dyDescent="0.2"/>
  <cols>
    <col min="1" max="1" width="6.7109375" style="321" customWidth="1"/>
    <col min="2" max="2" width="25.7109375" style="339" customWidth="1"/>
    <col min="3" max="3" width="31" style="339" customWidth="1"/>
    <col min="4" max="4" width="20.42578125" style="339" customWidth="1"/>
    <col min="5" max="5" width="40.7109375" style="339" customWidth="1"/>
    <col min="6" max="6" width="29" style="339" customWidth="1"/>
    <col min="7" max="7" width="26" style="339" customWidth="1"/>
    <col min="8" max="10" width="5.28515625" style="321" hidden="1" customWidth="1"/>
    <col min="11" max="11" width="38.7109375" style="321" customWidth="1"/>
    <col min="12" max="16384" width="6.28515625" style="321"/>
  </cols>
  <sheetData>
    <row r="1" spans="1:11" ht="57.75" customHeight="1" x14ac:dyDescent="0.2">
      <c r="A1" s="441" t="s">
        <v>284</v>
      </c>
    </row>
    <row r="2" spans="1:11" s="322" customFormat="1" ht="20.25" customHeight="1" x14ac:dyDescent="0.2">
      <c r="A2" s="356" t="s">
        <v>410</v>
      </c>
      <c r="B2" s="340"/>
      <c r="C2" s="1432"/>
      <c r="D2" s="1432"/>
      <c r="E2" s="1432"/>
      <c r="F2" s="1432"/>
      <c r="G2" s="340"/>
    </row>
    <row r="3" spans="1:11" s="322" customFormat="1" ht="27" customHeight="1" x14ac:dyDescent="0.2">
      <c r="A3" s="356"/>
      <c r="B3" s="429"/>
      <c r="C3" s="1437" t="str">
        <f>'t1'!A1</f>
        <v>ENTI PUBBLICI NON ECONOMICI - anno 2023</v>
      </c>
      <c r="D3" s="1437"/>
      <c r="E3" s="1437"/>
      <c r="F3" s="1437"/>
      <c r="G3" s="340"/>
    </row>
    <row r="4" spans="1:11" x14ac:dyDescent="0.2">
      <c r="D4" s="607"/>
    </row>
    <row r="5" spans="1:11" x14ac:dyDescent="0.2">
      <c r="E5" s="321"/>
    </row>
    <row r="6" spans="1:11" ht="18" customHeight="1" x14ac:dyDescent="0.2">
      <c r="B6" s="1411" t="s">
        <v>326</v>
      </c>
      <c r="C6" s="1412"/>
      <c r="D6" s="1412"/>
      <c r="E6" s="1412"/>
      <c r="F6" s="1412"/>
      <c r="G6" s="1413"/>
    </row>
    <row r="7" spans="1:11" ht="6" customHeight="1" x14ac:dyDescent="0.2"/>
    <row r="8" spans="1:11" ht="19.5" hidden="1" customHeight="1" x14ac:dyDescent="0.2">
      <c r="A8" s="357"/>
      <c r="B8" s="339" t="s">
        <v>247</v>
      </c>
      <c r="D8" s="341"/>
      <c r="E8" s="1415"/>
      <c r="F8" s="1416"/>
      <c r="G8" s="1433"/>
    </row>
    <row r="9" spans="1:11" ht="29.1" hidden="1" customHeight="1" x14ac:dyDescent="0.2">
      <c r="A9" s="357"/>
      <c r="B9" s="323" t="s">
        <v>248</v>
      </c>
      <c r="C9" s="323"/>
      <c r="D9" s="341"/>
      <c r="E9" s="1434"/>
      <c r="F9" s="1435"/>
      <c r="G9" s="1436"/>
      <c r="K9" s="442"/>
    </row>
    <row r="10" spans="1:11" ht="29.1" customHeight="1" x14ac:dyDescent="0.2">
      <c r="A10" s="357"/>
      <c r="B10" s="323" t="s">
        <v>249</v>
      </c>
      <c r="C10" s="323"/>
      <c r="D10" s="341"/>
      <c r="E10" s="1415"/>
      <c r="F10" s="1416"/>
      <c r="G10" s="1433"/>
      <c r="K10" s="442"/>
    </row>
    <row r="11" spans="1:11" ht="29.1" hidden="1" customHeight="1" x14ac:dyDescent="0.2">
      <c r="A11" s="357"/>
      <c r="B11" s="323" t="s">
        <v>250</v>
      </c>
      <c r="C11" s="323"/>
      <c r="D11" s="341"/>
      <c r="E11" s="1415"/>
      <c r="F11" s="1416"/>
      <c r="G11" s="1433"/>
      <c r="K11" s="442"/>
    </row>
    <row r="12" spans="1:11" ht="29.1" customHeight="1" x14ac:dyDescent="0.2">
      <c r="A12" s="357"/>
      <c r="B12" s="323" t="s">
        <v>251</v>
      </c>
      <c r="C12" s="323"/>
      <c r="D12" s="341"/>
      <c r="E12" s="1438"/>
      <c r="F12" s="1416"/>
      <c r="G12" s="1433"/>
      <c r="K12" s="442"/>
    </row>
    <row r="13" spans="1:11" ht="29.1" hidden="1" customHeight="1" x14ac:dyDescent="0.2">
      <c r="A13" s="357"/>
      <c r="B13" s="323" t="s">
        <v>252</v>
      </c>
      <c r="C13" s="550"/>
      <c r="D13" s="551"/>
      <c r="E13" s="552"/>
      <c r="F13" s="553"/>
      <c r="G13" s="554"/>
      <c r="H13" s="480"/>
      <c r="I13" s="481"/>
      <c r="K13" s="443"/>
    </row>
    <row r="14" spans="1:11" s="325" customFormat="1" ht="20.25" hidden="1" customHeight="1" x14ac:dyDescent="0.2">
      <c r="A14" s="357"/>
      <c r="B14" s="324"/>
      <c r="C14" s="342" t="s">
        <v>253</v>
      </c>
      <c r="D14" s="325" t="s">
        <v>273</v>
      </c>
      <c r="E14" s="342" t="s">
        <v>254</v>
      </c>
      <c r="F14" s="342" t="s">
        <v>289</v>
      </c>
      <c r="G14" s="342"/>
    </row>
    <row r="15" spans="1:11" s="455" customFormat="1" ht="29.1" customHeight="1" x14ac:dyDescent="0.2">
      <c r="A15" s="339"/>
      <c r="B15" s="323" t="s">
        <v>48</v>
      </c>
      <c r="D15" s="1439"/>
      <c r="E15" s="1440"/>
      <c r="F15" s="1440"/>
      <c r="G15" s="1441"/>
    </row>
    <row r="16" spans="1:11" ht="18" customHeight="1" x14ac:dyDescent="0.2">
      <c r="A16" s="357"/>
      <c r="B16" s="1411" t="s">
        <v>321</v>
      </c>
      <c r="C16" s="1412"/>
      <c r="D16" s="1412"/>
      <c r="E16" s="1412"/>
      <c r="F16" s="1412"/>
      <c r="G16" s="1413"/>
    </row>
    <row r="17" spans="1:11" s="326" customFormat="1" ht="15" customHeight="1" x14ac:dyDescent="0.2">
      <c r="A17" s="357"/>
      <c r="B17" s="343" t="s">
        <v>255</v>
      </c>
      <c r="C17" s="584"/>
      <c r="D17" s="584"/>
      <c r="E17" s="584"/>
      <c r="F17" s="584"/>
      <c r="G17" s="584"/>
    </row>
    <row r="18" spans="1:11" s="326" customFormat="1" ht="15" x14ac:dyDescent="0.2">
      <c r="A18" s="357"/>
      <c r="B18" s="344" t="s">
        <v>256</v>
      </c>
      <c r="C18" s="344"/>
      <c r="D18" s="344" t="s">
        <v>257</v>
      </c>
      <c r="E18" s="344"/>
      <c r="F18" s="345" t="s">
        <v>268</v>
      </c>
      <c r="G18" s="578"/>
    </row>
    <row r="19" spans="1:11" ht="22.5" customHeight="1" x14ac:dyDescent="0.2">
      <c r="A19" s="357"/>
      <c r="B19" s="1415"/>
      <c r="C19" s="1416"/>
      <c r="D19" s="1415"/>
      <c r="E19" s="1416"/>
      <c r="F19" s="1438"/>
      <c r="G19" s="1433"/>
      <c r="K19" s="443"/>
    </row>
    <row r="20" spans="1:11" s="326" customFormat="1" ht="15" customHeight="1" x14ac:dyDescent="0.2">
      <c r="A20" s="357"/>
      <c r="B20" s="343" t="s">
        <v>258</v>
      </c>
      <c r="D20" s="344"/>
      <c r="E20" s="344"/>
      <c r="F20" s="584"/>
      <c r="G20" s="584"/>
    </row>
    <row r="21" spans="1:11" s="326" customFormat="1" ht="15" customHeight="1" x14ac:dyDescent="0.2">
      <c r="A21" s="357"/>
      <c r="B21" s="344" t="s">
        <v>256</v>
      </c>
      <c r="C21" s="344"/>
      <c r="D21" s="344" t="s">
        <v>257</v>
      </c>
      <c r="E21" s="344"/>
      <c r="F21" s="345" t="s">
        <v>268</v>
      </c>
      <c r="G21" s="579"/>
    </row>
    <row r="22" spans="1:11" ht="23.25" customHeight="1" x14ac:dyDescent="0.2">
      <c r="A22" s="357"/>
      <c r="B22" s="1405"/>
      <c r="C22" s="1406"/>
      <c r="D22" s="1405"/>
      <c r="E22" s="1406"/>
      <c r="F22" s="1405"/>
      <c r="G22" s="1406"/>
      <c r="K22" s="443" t="str">
        <f>IF(OR(LEN(B22)&gt;0,LEN(D22)&gt;0),IF(LEN(F22)=0,"E' NECESSARIO COMPILARE IL CAMPO E-MAIL"," ")," ")</f>
        <v xml:space="preserve"> </v>
      </c>
    </row>
    <row r="23" spans="1:11" ht="23.25" customHeight="1" x14ac:dyDescent="0.2">
      <c r="A23" s="357"/>
      <c r="B23" s="1405"/>
      <c r="C23" s="1406"/>
      <c r="D23" s="1405"/>
      <c r="E23" s="1406"/>
      <c r="F23" s="1405"/>
      <c r="G23" s="1406"/>
      <c r="K23" s="443" t="str">
        <f>IF(OR(LEN(B23)&gt;0,LEN(D23)&gt;0),IF(LEN(F23)=0,"E' NECESSARIO COMPILARE IL CAMPO E-MAIL"," ")," ")</f>
        <v xml:space="preserve"> </v>
      </c>
    </row>
    <row r="24" spans="1:11" ht="23.25" customHeight="1" x14ac:dyDescent="0.2">
      <c r="A24" s="357"/>
      <c r="B24" s="1405"/>
      <c r="C24" s="1406"/>
      <c r="D24" s="1405"/>
      <c r="E24" s="1406"/>
      <c r="F24" s="1405"/>
      <c r="G24" s="1406"/>
      <c r="K24" s="443" t="str">
        <f>IF(OR(LEN(B24)&gt;0,LEN(D24)&gt;0),IF(LEN(F24)=0,"E' NECESSARIO COMPILARE IL CAMPO E-MAIL"," ")," ")</f>
        <v xml:space="preserve"> </v>
      </c>
    </row>
    <row r="25" spans="1:11" ht="23.25" customHeight="1" x14ac:dyDescent="0.2">
      <c r="A25" s="357"/>
      <c r="B25" s="1405"/>
      <c r="C25" s="1406"/>
      <c r="D25" s="1405"/>
      <c r="E25" s="1406"/>
      <c r="F25" s="1405"/>
      <c r="G25" s="1406"/>
      <c r="K25" s="443" t="str">
        <f>IF(OR(LEN(B25)&gt;0,LEN(D25)&gt;0),IF(LEN(F25)=0,"E' NECESSARIO COMPILARE IL CAMPO E-MAIL"," ")," ")</f>
        <v xml:space="preserve"> </v>
      </c>
    </row>
    <row r="26" spans="1:11" ht="23.25" customHeight="1" x14ac:dyDescent="0.2">
      <c r="A26" s="357"/>
      <c r="B26" s="1405"/>
      <c r="C26" s="1406"/>
      <c r="D26" s="1405"/>
      <c r="E26" s="1406"/>
      <c r="F26" s="1405"/>
      <c r="G26" s="1406"/>
      <c r="K26" s="443" t="str">
        <f>IF(OR(LEN(B26)&gt;0,LEN(D26)&gt;0),IF(LEN(F26)=0,"E' NECESSARIO COMPILARE IL CAMPO E-MAIL"," ")," ")</f>
        <v xml:space="preserve"> </v>
      </c>
    </row>
    <row r="27" spans="1:11" ht="17.399999999999999" x14ac:dyDescent="0.2">
      <c r="A27" s="357"/>
      <c r="C27" s="346"/>
      <c r="D27" s="346"/>
      <c r="E27" s="341"/>
      <c r="F27" s="347"/>
      <c r="G27" s="347"/>
    </row>
    <row r="28" spans="1:11" ht="18" customHeight="1" x14ac:dyDescent="0.2">
      <c r="A28" s="357"/>
      <c r="B28" s="349" t="s">
        <v>259</v>
      </c>
      <c r="C28" s="348"/>
      <c r="D28" s="348"/>
      <c r="E28" s="350"/>
      <c r="F28" s="351"/>
      <c r="G28" s="351"/>
      <c r="H28" s="327"/>
    </row>
    <row r="29" spans="1:11" ht="13.5" customHeight="1" x14ac:dyDescent="0.2">
      <c r="A29" s="357"/>
      <c r="B29" s="348"/>
      <c r="C29" s="348"/>
      <c r="D29" s="348"/>
      <c r="E29" s="350"/>
      <c r="F29" s="350"/>
      <c r="G29" s="350"/>
      <c r="H29" s="327"/>
    </row>
    <row r="30" spans="1:11" ht="18" customHeight="1" x14ac:dyDescent="0.2">
      <c r="A30" s="357"/>
      <c r="B30" s="1411" t="s">
        <v>322</v>
      </c>
      <c r="C30" s="1412"/>
      <c r="D30" s="1412"/>
      <c r="E30" s="1412"/>
      <c r="F30" s="1412"/>
      <c r="G30" s="1413"/>
      <c r="H30" s="327"/>
    </row>
    <row r="31" spans="1:11" ht="8.1" customHeight="1" x14ac:dyDescent="0.2">
      <c r="A31" s="357"/>
      <c r="B31" s="625"/>
      <c r="C31" s="607"/>
      <c r="D31" s="607"/>
      <c r="E31" s="321"/>
      <c r="F31" s="607"/>
      <c r="G31" s="607"/>
    </row>
    <row r="32" spans="1:11" s="328" customFormat="1" ht="15.75" customHeight="1" x14ac:dyDescent="0.2">
      <c r="A32" s="357"/>
      <c r="B32" s="626" t="s">
        <v>605</v>
      </c>
      <c r="C32" s="626"/>
      <c r="D32" s="626" t="s">
        <v>606</v>
      </c>
      <c r="E32" s="626" t="s">
        <v>607</v>
      </c>
      <c r="F32" s="707" t="s">
        <v>608</v>
      </c>
      <c r="G32" s="607"/>
    </row>
    <row r="33" spans="1:11" ht="41.1" customHeight="1" x14ac:dyDescent="0.25">
      <c r="A33" s="357"/>
      <c r="B33" s="1407"/>
      <c r="C33" s="1408"/>
      <c r="D33" s="551"/>
      <c r="E33" s="555"/>
      <c r="F33" s="556"/>
      <c r="G33" s="607"/>
      <c r="K33" s="443" t="str">
        <f>IF(AND(LEN(B33)&gt;0,LEN(D33)&gt;0,LEN(E33)&gt;0,LEN(F33)&gt;0),"","COMPILARE TUTTI I DATI DEL RESPONSABILE CONTRASSEGNATI CON L'ASTERISCO")</f>
        <v>COMPILARE TUTTI I DATI DEL RESPONSABILE CONTRASSEGNATI CON L'ASTERISCO</v>
      </c>
    </row>
    <row r="34" spans="1:11" ht="20.25" hidden="1" customHeight="1" x14ac:dyDescent="0.25">
      <c r="A34" s="357"/>
      <c r="B34" s="1409"/>
      <c r="C34" s="1410"/>
      <c r="D34" s="627"/>
      <c r="E34" s="444"/>
      <c r="F34" s="629"/>
      <c r="G34" s="629"/>
    </row>
    <row r="35" spans="1:11" ht="18" customHeight="1" x14ac:dyDescent="0.2">
      <c r="A35" s="357"/>
      <c r="B35" s="630"/>
      <c r="C35" s="630"/>
      <c r="D35" s="607"/>
      <c r="E35" s="607"/>
      <c r="F35" s="321"/>
      <c r="G35" s="321"/>
    </row>
    <row r="36" spans="1:11" ht="18" customHeight="1" x14ac:dyDescent="0.2">
      <c r="A36" s="357"/>
      <c r="B36" s="1411" t="s">
        <v>534</v>
      </c>
      <c r="C36" s="1412"/>
      <c r="D36" s="1412"/>
      <c r="E36" s="1412"/>
      <c r="F36" s="1412"/>
      <c r="G36" s="1413"/>
      <c r="H36" s="327"/>
    </row>
    <row r="37" spans="1:11" ht="8.1" customHeight="1" x14ac:dyDescent="0.2">
      <c r="A37" s="357"/>
      <c r="B37" s="625"/>
      <c r="C37" s="607"/>
      <c r="D37" s="607"/>
      <c r="E37" s="321"/>
      <c r="F37" s="607"/>
      <c r="G37" s="607"/>
    </row>
    <row r="38" spans="1:11" s="328" customFormat="1" ht="15.75" customHeight="1" x14ac:dyDescent="0.2">
      <c r="A38" s="357"/>
      <c r="B38" s="626" t="s">
        <v>256</v>
      </c>
      <c r="C38" s="626"/>
      <c r="D38" s="626" t="s">
        <v>257</v>
      </c>
      <c r="E38" s="626" t="s">
        <v>268</v>
      </c>
      <c r="F38" s="328" t="s">
        <v>249</v>
      </c>
      <c r="G38" s="607"/>
    </row>
    <row r="39" spans="1:11" ht="23.25" customHeight="1" x14ac:dyDescent="0.25">
      <c r="A39" s="357"/>
      <c r="B39" s="1409"/>
      <c r="C39" s="1410"/>
      <c r="D39" s="627"/>
      <c r="E39" s="628"/>
      <c r="F39" s="629"/>
      <c r="G39" s="607"/>
      <c r="K39" s="443"/>
    </row>
    <row r="40" spans="1:11" ht="18" customHeight="1" x14ac:dyDescent="0.2">
      <c r="A40" s="357"/>
      <c r="B40" s="630"/>
      <c r="C40" s="630"/>
      <c r="D40" s="607"/>
      <c r="E40" s="607"/>
      <c r="F40" s="321"/>
      <c r="G40" s="321"/>
    </row>
    <row r="41" spans="1:11" ht="18" customHeight="1" x14ac:dyDescent="0.2">
      <c r="A41" s="357"/>
      <c r="B41" s="1411" t="s">
        <v>327</v>
      </c>
      <c r="C41" s="1412"/>
      <c r="D41" s="1412"/>
      <c r="E41" s="1412"/>
      <c r="F41" s="1412"/>
      <c r="G41" s="1413"/>
    </row>
    <row r="42" spans="1:11" ht="6" customHeight="1" x14ac:dyDescent="0.25">
      <c r="A42" s="357"/>
      <c r="B42" s="323"/>
      <c r="C42" s="323"/>
      <c r="F42" s="352"/>
      <c r="G42" s="352"/>
    </row>
    <row r="43" spans="1:11" ht="15" hidden="1" x14ac:dyDescent="0.2">
      <c r="A43" s="357"/>
      <c r="B43" s="329"/>
      <c r="C43" s="323"/>
      <c r="F43"/>
      <c r="G43"/>
      <c r="H43" s="358" t="b">
        <v>0</v>
      </c>
      <c r="I43" s="358" t="b">
        <v>0</v>
      </c>
    </row>
    <row r="44" spans="1:11" ht="29.25" hidden="1" customHeight="1" x14ac:dyDescent="0.2">
      <c r="A44" s="357">
        <v>1</v>
      </c>
      <c r="B44" s="1414" t="s">
        <v>260</v>
      </c>
      <c r="C44" s="1414"/>
      <c r="D44" s="1414"/>
      <c r="E44" s="1414"/>
      <c r="F44" s="497"/>
      <c r="G44" s="497"/>
      <c r="H44" s="430"/>
      <c r="I44" s="430"/>
      <c r="J44" s="445"/>
      <c r="K44" s="443"/>
    </row>
    <row r="45" spans="1:11" ht="8.25" hidden="1" customHeight="1" x14ac:dyDescent="0.2">
      <c r="B45" s="329"/>
      <c r="C45" s="323"/>
      <c r="F45" s="547"/>
      <c r="G45" s="547"/>
      <c r="H45" s="358"/>
      <c r="I45" s="358"/>
    </row>
    <row r="46" spans="1:11" ht="29.25" hidden="1" customHeight="1" x14ac:dyDescent="0.2">
      <c r="A46" s="357">
        <v>2</v>
      </c>
      <c r="B46" s="1414" t="s">
        <v>260</v>
      </c>
      <c r="C46" s="1414"/>
      <c r="D46" s="1414"/>
      <c r="E46" s="1414"/>
      <c r="F46" s="351"/>
      <c r="G46" s="351"/>
      <c r="H46" s="430"/>
      <c r="I46" s="430"/>
      <c r="J46" s="445"/>
      <c r="K46" s="443"/>
    </row>
    <row r="47" spans="1:11" ht="8.25" hidden="1" customHeight="1" x14ac:dyDescent="0.2">
      <c r="A47" s="357"/>
      <c r="B47" s="329"/>
      <c r="C47" s="323"/>
      <c r="F47" s="547"/>
      <c r="G47" s="547"/>
      <c r="H47" s="358"/>
      <c r="I47" s="358"/>
    </row>
    <row r="48" spans="1:11" ht="29.25" hidden="1" customHeight="1" x14ac:dyDescent="0.2">
      <c r="A48" s="357">
        <v>3</v>
      </c>
      <c r="B48" s="1414" t="s">
        <v>260</v>
      </c>
      <c r="C48" s="1414"/>
      <c r="D48" s="1414"/>
      <c r="E48" s="1414"/>
      <c r="F48" s="351"/>
      <c r="G48" s="351"/>
      <c r="H48" s="430"/>
      <c r="I48" s="430"/>
      <c r="J48" s="445"/>
      <c r="K48" s="443"/>
    </row>
    <row r="49" spans="1:11" ht="8.25" hidden="1" customHeight="1" x14ac:dyDescent="0.2">
      <c r="A49" s="357"/>
      <c r="B49" s="548"/>
      <c r="C49" s="548"/>
      <c r="D49" s="548"/>
      <c r="E49" s="548"/>
      <c r="F49" s="547"/>
      <c r="G49" s="547"/>
      <c r="H49" s="358"/>
      <c r="I49" s="358"/>
    </row>
    <row r="50" spans="1:11" ht="29.25" hidden="1" customHeight="1" x14ac:dyDescent="0.2">
      <c r="A50" s="357">
        <v>4</v>
      </c>
      <c r="B50" s="1414" t="s">
        <v>260</v>
      </c>
      <c r="C50" s="1414"/>
      <c r="D50" s="1414"/>
      <c r="E50" s="1414"/>
      <c r="F50" s="351"/>
      <c r="G50" s="351"/>
      <c r="H50" s="430"/>
      <c r="I50" s="430"/>
      <c r="J50" s="445"/>
      <c r="K50" s="443"/>
    </row>
    <row r="51" spans="1:11" ht="9.75" hidden="1" customHeight="1" x14ac:dyDescent="0.2">
      <c r="A51" s="357"/>
      <c r="H51" s="430"/>
      <c r="I51" s="430"/>
    </row>
    <row r="52" spans="1:11" ht="15" hidden="1" x14ac:dyDescent="0.25">
      <c r="A52" s="357"/>
      <c r="B52" s="321"/>
      <c r="C52" s="321"/>
      <c r="F52" s="352"/>
      <c r="G52" s="353"/>
    </row>
    <row r="53" spans="1:11" ht="27" hidden="1" customHeight="1" x14ac:dyDescent="0.2">
      <c r="A53" s="357">
        <v>5</v>
      </c>
      <c r="B53" s="1403" t="s">
        <v>260</v>
      </c>
      <c r="C53" s="1403"/>
      <c r="D53" s="1403"/>
      <c r="E53" s="1403"/>
      <c r="F53" s="1404"/>
      <c r="G53" s="577"/>
      <c r="K53" s="443"/>
    </row>
    <row r="54" spans="1:11" ht="4.5" hidden="1" customHeight="1" x14ac:dyDescent="0.2">
      <c r="A54" s="357"/>
      <c r="B54" s="329"/>
      <c r="C54" s="329"/>
      <c r="D54" s="572"/>
      <c r="E54" s="572"/>
      <c r="F54" s="572"/>
      <c r="G54" s="354"/>
    </row>
    <row r="55" spans="1:11" ht="15" x14ac:dyDescent="0.2">
      <c r="A55" s="357"/>
      <c r="B55" s="478"/>
      <c r="C55" s="478"/>
      <c r="D55" s="573"/>
      <c r="E55" s="573"/>
      <c r="F55" s="478"/>
      <c r="G55" s="353" t="s">
        <v>261</v>
      </c>
    </row>
    <row r="56" spans="1:11" ht="24" customHeight="1" x14ac:dyDescent="0.2">
      <c r="A56" s="357">
        <v>6</v>
      </c>
      <c r="B56" s="1403" t="s">
        <v>1119</v>
      </c>
      <c r="C56" s="1403"/>
      <c r="D56" s="1403"/>
      <c r="E56" s="1403"/>
      <c r="F56" s="1404"/>
      <c r="G56" s="500">
        <v>0</v>
      </c>
      <c r="K56" s="443" t="str">
        <f>IF(G56="","INSERIRE CAMPO OBBLIGATORIO",IF(G56=" ","INSERIRE NUMERO VALIDO",""))</f>
        <v/>
      </c>
    </row>
    <row r="57" spans="1:11" ht="4.5" customHeight="1" x14ac:dyDescent="0.2">
      <c r="A57" s="357"/>
      <c r="B57" s="329"/>
      <c r="C57" s="329"/>
      <c r="D57" s="573"/>
      <c r="E57" s="573"/>
      <c r="F57" s="478"/>
    </row>
    <row r="58" spans="1:11" ht="15" x14ac:dyDescent="0.2">
      <c r="A58" s="357"/>
      <c r="B58" s="478"/>
      <c r="C58" s="574"/>
      <c r="D58" s="575"/>
      <c r="E58" s="575"/>
      <c r="F58" s="576"/>
      <c r="G58" s="353" t="s">
        <v>261</v>
      </c>
    </row>
    <row r="59" spans="1:11" ht="24" customHeight="1" x14ac:dyDescent="0.2">
      <c r="A59" s="357">
        <v>7</v>
      </c>
      <c r="B59" s="1403" t="s">
        <v>1128</v>
      </c>
      <c r="C59" s="1403"/>
      <c r="D59" s="1403"/>
      <c r="E59" s="1403"/>
      <c r="F59" s="1404"/>
      <c r="G59" s="500">
        <v>0</v>
      </c>
      <c r="K59" s="443" t="str">
        <f>IF(G59="","INSERIRE CAMPO OBBLIGATORIO",IF(G59=" ","INSERIRE NUMERO VALIDO",""))</f>
        <v/>
      </c>
    </row>
    <row r="60" spans="1:11" ht="4.5" customHeight="1" x14ac:dyDescent="0.2">
      <c r="A60" s="357"/>
      <c r="B60" s="329"/>
      <c r="C60" s="329"/>
      <c r="D60" s="573"/>
      <c r="E60" s="573"/>
      <c r="F60" s="478"/>
      <c r="G60" s="339" t="s">
        <v>94</v>
      </c>
    </row>
    <row r="61" spans="1:11" ht="15" x14ac:dyDescent="0.2">
      <c r="A61" s="357"/>
      <c r="B61" s="478"/>
      <c r="C61" s="574"/>
      <c r="D61" s="575"/>
      <c r="E61" s="575"/>
      <c r="F61" s="576"/>
      <c r="G61" s="353" t="s">
        <v>261</v>
      </c>
    </row>
    <row r="62" spans="1:11" ht="24" customHeight="1" x14ac:dyDescent="0.2">
      <c r="A62" s="357">
        <v>8</v>
      </c>
      <c r="B62" s="1403" t="s">
        <v>467</v>
      </c>
      <c r="C62" s="1403"/>
      <c r="D62" s="1403"/>
      <c r="E62" s="1403"/>
      <c r="F62" s="1404"/>
      <c r="G62" s="500">
        <v>0</v>
      </c>
      <c r="K62" s="443" t="str">
        <f>IF(G62="","INSERIRE CAMPO OBBLIGATORIO",IF(G62=" ","INSERIRE NUMERO VALIDO",""))</f>
        <v/>
      </c>
    </row>
    <row r="63" spans="1:11" ht="4.5" customHeight="1" x14ac:dyDescent="0.2">
      <c r="A63" s="357"/>
      <c r="B63" s="329"/>
      <c r="C63" s="329"/>
      <c r="D63" s="573"/>
      <c r="E63" s="573"/>
      <c r="F63" s="478"/>
      <c r="G63" s="339" t="s">
        <v>94</v>
      </c>
    </row>
    <row r="64" spans="1:11" ht="15" hidden="1" customHeight="1" x14ac:dyDescent="0.2">
      <c r="A64" s="606"/>
      <c r="B64" s="329"/>
      <c r="C64" s="329"/>
      <c r="D64" s="573"/>
      <c r="E64" s="573"/>
      <c r="F64" s="478"/>
      <c r="G64"/>
      <c r="H64"/>
      <c r="I64" s="479"/>
      <c r="J64" s="479"/>
    </row>
    <row r="65" spans="1:11" ht="15" hidden="1" customHeight="1" x14ac:dyDescent="0.2">
      <c r="A65" s="606"/>
      <c r="B65" s="329"/>
      <c r="C65" s="329"/>
      <c r="D65" s="573"/>
      <c r="E65" s="573"/>
      <c r="F65" s="478"/>
      <c r="G65"/>
      <c r="H65"/>
      <c r="I65" s="475"/>
      <c r="J65" s="479"/>
    </row>
    <row r="66" spans="1:11" ht="15" hidden="1" customHeight="1" x14ac:dyDescent="0.2">
      <c r="A66" s="606"/>
      <c r="B66" s="329"/>
      <c r="C66" s="329"/>
      <c r="D66" s="573"/>
      <c r="E66" s="573"/>
      <c r="F66" s="478"/>
      <c r="G66"/>
      <c r="H66"/>
      <c r="I66" s="475"/>
      <c r="J66" s="479"/>
    </row>
    <row r="67" spans="1:11" ht="15" hidden="1" customHeight="1" x14ac:dyDescent="0.2">
      <c r="A67" s="606"/>
      <c r="B67" s="329"/>
      <c r="C67" s="329"/>
      <c r="D67" s="573"/>
      <c r="E67" s="573"/>
      <c r="F67" s="478"/>
      <c r="G67"/>
      <c r="H67"/>
      <c r="I67" s="475"/>
      <c r="J67" s="479"/>
    </row>
    <row r="68" spans="1:11" ht="15" hidden="1" customHeight="1" x14ac:dyDescent="0.2">
      <c r="A68" s="606"/>
      <c r="B68" s="329"/>
      <c r="C68" s="329"/>
      <c r="D68" s="573"/>
      <c r="E68" s="573"/>
      <c r="F68" s="478"/>
      <c r="G68"/>
      <c r="H68"/>
      <c r="I68" s="475"/>
      <c r="J68" s="479"/>
    </row>
    <row r="69" spans="1:11" ht="15" hidden="1" customHeight="1" x14ac:dyDescent="0.2">
      <c r="A69" s="606"/>
      <c r="B69" s="329"/>
      <c r="C69" s="329"/>
      <c r="D69" s="573"/>
      <c r="E69" s="573"/>
      <c r="F69" s="478"/>
      <c r="G69"/>
      <c r="H69"/>
      <c r="I69" s="475"/>
      <c r="J69" s="479"/>
    </row>
    <row r="70" spans="1:11" ht="10.199999999999999" hidden="1" customHeight="1" x14ac:dyDescent="0.2">
      <c r="A70" s="357"/>
      <c r="B70" s="329"/>
      <c r="C70" s="329"/>
      <c r="D70" s="573"/>
      <c r="E70" s="573"/>
      <c r="F70" s="478"/>
      <c r="G70" s="494"/>
    </row>
    <row r="71" spans="1:11" ht="10.199999999999999" hidden="1" customHeight="1" x14ac:dyDescent="0.2">
      <c r="A71" s="357"/>
      <c r="B71" s="329"/>
      <c r="C71" s="329"/>
      <c r="D71" s="573"/>
      <c r="E71" s="573"/>
      <c r="F71" s="478"/>
      <c r="G71" s="494"/>
    </row>
    <row r="72" spans="1:11" ht="10.199999999999999" hidden="1" customHeight="1" x14ac:dyDescent="0.2">
      <c r="A72" s="357"/>
      <c r="B72" s="329"/>
      <c r="C72" s="329"/>
      <c r="D72" s="573"/>
      <c r="E72" s="573"/>
      <c r="F72" s="478"/>
      <c r="G72" s="494"/>
    </row>
    <row r="73" spans="1:11" ht="10.199999999999999" hidden="1" customHeight="1" x14ac:dyDescent="0.2">
      <c r="A73" s="357"/>
      <c r="B73" s="329"/>
      <c r="C73" s="329"/>
      <c r="D73" s="573"/>
      <c r="E73" s="573"/>
      <c r="F73" s="478"/>
      <c r="G73" s="494"/>
    </row>
    <row r="74" spans="1:11" ht="10.199999999999999" hidden="1" customHeight="1" x14ac:dyDescent="0.2">
      <c r="A74" s="357"/>
      <c r="B74" s="329"/>
      <c r="C74" s="329"/>
      <c r="D74" s="573"/>
      <c r="E74" s="573"/>
      <c r="F74" s="478"/>
      <c r="G74" s="494"/>
    </row>
    <row r="75" spans="1:11" ht="10.199999999999999" hidden="1" customHeight="1" x14ac:dyDescent="0.2">
      <c r="A75" s="357"/>
      <c r="B75" s="329"/>
      <c r="C75" s="329"/>
      <c r="D75" s="573"/>
      <c r="E75" s="573"/>
      <c r="F75" s="478"/>
      <c r="G75" s="494"/>
    </row>
    <row r="76" spans="1:11" ht="10.199999999999999" hidden="1" customHeight="1" x14ac:dyDescent="0.2">
      <c r="A76" s="357"/>
      <c r="B76" s="329"/>
      <c r="C76" s="329"/>
      <c r="D76" s="573"/>
      <c r="E76" s="573"/>
      <c r="F76" s="478"/>
      <c r="G76" s="494"/>
    </row>
    <row r="77" spans="1:11" ht="10.199999999999999" hidden="1" customHeight="1" x14ac:dyDescent="0.2">
      <c r="A77" s="357"/>
      <c r="B77" s="329"/>
      <c r="C77" s="329"/>
      <c r="D77" s="573"/>
      <c r="E77" s="573"/>
      <c r="F77" s="478"/>
      <c r="G77" s="494"/>
    </row>
    <row r="78" spans="1:11" ht="10.199999999999999" hidden="1" customHeight="1" x14ac:dyDescent="0.2">
      <c r="A78" s="357"/>
      <c r="B78" s="329"/>
      <c r="C78" s="329"/>
      <c r="D78" s="573"/>
      <c r="E78" s="573"/>
      <c r="F78" s="478"/>
      <c r="G78" s="494"/>
    </row>
    <row r="79" spans="1:11" ht="10.199999999999999" hidden="1" customHeight="1" x14ac:dyDescent="0.2">
      <c r="A79" s="357"/>
      <c r="B79" s="329"/>
      <c r="C79" s="329"/>
      <c r="D79" s="573"/>
      <c r="E79" s="573"/>
      <c r="F79" s="478"/>
      <c r="G79" s="476"/>
      <c r="K79" s="443"/>
    </row>
    <row r="80" spans="1:11" ht="17.25" hidden="1" customHeight="1" x14ac:dyDescent="0.2">
      <c r="A80" s="357"/>
      <c r="B80" s="329"/>
      <c r="C80" s="329"/>
      <c r="D80" s="573"/>
      <c r="E80" s="573"/>
      <c r="F80" s="478"/>
    </row>
    <row r="81" spans="1:11" ht="15" x14ac:dyDescent="0.2">
      <c r="A81" s="357"/>
      <c r="B81" s="478"/>
      <c r="C81" s="574"/>
      <c r="D81" s="575"/>
      <c r="E81" s="575"/>
      <c r="F81" s="576"/>
      <c r="G81" s="353" t="s">
        <v>307</v>
      </c>
    </row>
    <row r="82" spans="1:11" ht="27" customHeight="1" x14ac:dyDescent="0.2">
      <c r="A82" s="357">
        <v>9</v>
      </c>
      <c r="B82" s="1403" t="s">
        <v>468</v>
      </c>
      <c r="C82" s="1403"/>
      <c r="D82" s="1403"/>
      <c r="E82" s="1403"/>
      <c r="F82" s="1404"/>
      <c r="G82" s="500"/>
      <c r="K82" s="443"/>
    </row>
    <row r="83" spans="1:11" ht="5.25" customHeight="1" x14ac:dyDescent="0.2">
      <c r="A83" s="357"/>
      <c r="B83" s="440"/>
      <c r="C83" s="440"/>
      <c r="D83" s="440"/>
      <c r="E83" s="440"/>
      <c r="F83" s="440"/>
      <c r="K83" s="443"/>
    </row>
    <row r="84" spans="1:11" ht="15" hidden="1" x14ac:dyDescent="0.25">
      <c r="A84" s="357"/>
      <c r="B84" s="321"/>
      <c r="C84" s="321"/>
      <c r="F84" s="352"/>
      <c r="G84" s="353"/>
    </row>
    <row r="85" spans="1:11" ht="27" hidden="1" customHeight="1" x14ac:dyDescent="0.2">
      <c r="A85" s="357">
        <v>10</v>
      </c>
      <c r="B85" s="1403" t="s">
        <v>260</v>
      </c>
      <c r="C85" s="1403"/>
      <c r="D85" s="1403"/>
      <c r="E85" s="1403"/>
      <c r="F85" s="1404"/>
      <c r="G85" s="577"/>
      <c r="K85" s="443"/>
    </row>
    <row r="86" spans="1:11" ht="5.25" hidden="1" customHeight="1" x14ac:dyDescent="0.2">
      <c r="A86" s="357"/>
      <c r="B86" s="440"/>
      <c r="C86" s="440"/>
      <c r="D86" s="440"/>
      <c r="E86" s="440"/>
      <c r="F86" s="440"/>
      <c r="K86" s="443"/>
    </row>
    <row r="87" spans="1:11" ht="15" hidden="1" x14ac:dyDescent="0.2">
      <c r="A87" s="357"/>
      <c r="B87" s="478"/>
      <c r="C87" s="574"/>
      <c r="D87" s="575"/>
      <c r="E87" s="575"/>
      <c r="F87" s="576"/>
      <c r="G87" s="353"/>
    </row>
    <row r="88" spans="1:11" ht="27" hidden="1" customHeight="1" x14ac:dyDescent="0.2">
      <c r="A88" s="357">
        <v>11</v>
      </c>
      <c r="B88" s="1403" t="s">
        <v>260</v>
      </c>
      <c r="C88" s="1403"/>
      <c r="D88" s="1403"/>
      <c r="E88" s="1403"/>
      <c r="F88" s="1404"/>
      <c r="G88" s="577"/>
      <c r="K88" s="443"/>
    </row>
    <row r="89" spans="1:11" ht="5.25" hidden="1" customHeight="1" x14ac:dyDescent="0.2">
      <c r="A89" s="357"/>
      <c r="B89" s="440"/>
      <c r="C89" s="440"/>
      <c r="D89" s="440"/>
      <c r="E89" s="440"/>
      <c r="F89" s="440"/>
      <c r="K89" s="443"/>
    </row>
    <row r="90" spans="1:11" ht="15" hidden="1" x14ac:dyDescent="0.2">
      <c r="A90" s="357"/>
      <c r="B90" s="478"/>
      <c r="C90" s="574"/>
      <c r="D90" s="575"/>
      <c r="E90" s="575"/>
      <c r="F90" s="576"/>
      <c r="G90" s="353"/>
    </row>
    <row r="91" spans="1:11" ht="27" hidden="1" customHeight="1" x14ac:dyDescent="0.2">
      <c r="A91" s="357">
        <v>12</v>
      </c>
      <c r="B91" s="1403" t="s">
        <v>260</v>
      </c>
      <c r="C91" s="1403"/>
      <c r="D91" s="1403"/>
      <c r="E91" s="1403"/>
      <c r="F91" s="1404"/>
      <c r="G91" s="577"/>
      <c r="K91" s="443"/>
    </row>
    <row r="92" spans="1:11" ht="4.5" hidden="1" customHeight="1" x14ac:dyDescent="0.2">
      <c r="A92" s="357"/>
      <c r="B92" s="440"/>
      <c r="C92" s="440"/>
      <c r="D92" s="440"/>
      <c r="E92" s="440"/>
      <c r="F92" s="440"/>
      <c r="G92" s="440"/>
      <c r="K92" s="443"/>
    </row>
    <row r="93" spans="1:11" ht="15" hidden="1" x14ac:dyDescent="0.2">
      <c r="A93" s="357"/>
      <c r="B93" s="478"/>
      <c r="C93" s="574"/>
      <c r="D93" s="575"/>
      <c r="E93" s="575"/>
      <c r="F93" s="576"/>
      <c r="G93" s="353"/>
    </row>
    <row r="94" spans="1:11" ht="27" hidden="1" customHeight="1" x14ac:dyDescent="0.2">
      <c r="A94" s="357">
        <v>13</v>
      </c>
      <c r="B94" s="1403" t="s">
        <v>260</v>
      </c>
      <c r="C94" s="1403"/>
      <c r="D94" s="1403"/>
      <c r="E94" s="1403"/>
      <c r="F94" s="1404"/>
      <c r="G94" s="577"/>
      <c r="K94" s="443"/>
    </row>
    <row r="95" spans="1:11" ht="4.5" hidden="1" customHeight="1" x14ac:dyDescent="0.2">
      <c r="A95" s="357"/>
      <c r="B95" s="440"/>
      <c r="C95" s="440"/>
      <c r="D95" s="440"/>
      <c r="E95" s="440"/>
      <c r="F95" s="440"/>
      <c r="G95" s="440"/>
      <c r="K95" s="443"/>
    </row>
    <row r="96" spans="1:11" ht="15" hidden="1" x14ac:dyDescent="0.2">
      <c r="A96" s="357"/>
      <c r="B96" s="478"/>
      <c r="C96" s="574"/>
      <c r="D96" s="575"/>
      <c r="E96" s="575"/>
      <c r="F96" s="576"/>
      <c r="G96" s="353"/>
    </row>
    <row r="97" spans="1:11" ht="27" hidden="1" customHeight="1" x14ac:dyDescent="0.2">
      <c r="A97" s="357">
        <v>30</v>
      </c>
      <c r="B97" s="1403" t="s">
        <v>260</v>
      </c>
      <c r="C97" s="1403"/>
      <c r="D97" s="1403"/>
      <c r="E97" s="1403"/>
      <c r="F97" s="1404"/>
      <c r="G97" s="577"/>
      <c r="K97" s="443"/>
    </row>
    <row r="98" spans="1:11" ht="4.5" hidden="1" customHeight="1" x14ac:dyDescent="0.2">
      <c r="A98" s="357"/>
      <c r="B98" s="440"/>
      <c r="C98" s="440"/>
      <c r="D98" s="440"/>
      <c r="E98" s="440"/>
      <c r="F98" s="440"/>
      <c r="G98" s="440"/>
      <c r="K98" s="443"/>
    </row>
    <row r="99" spans="1:11" ht="15" x14ac:dyDescent="0.2">
      <c r="A99" s="357"/>
      <c r="B99" s="478"/>
      <c r="C99" s="574"/>
      <c r="D99" s="575"/>
      <c r="E99" s="575"/>
      <c r="F99" s="576"/>
      <c r="G99" s="353" t="s">
        <v>262</v>
      </c>
    </row>
    <row r="100" spans="1:11" ht="27" customHeight="1" x14ac:dyDescent="0.2">
      <c r="A100" s="357">
        <v>31</v>
      </c>
      <c r="B100" s="1403" t="s">
        <v>469</v>
      </c>
      <c r="C100" s="1403"/>
      <c r="D100" s="1403"/>
      <c r="E100" s="1403"/>
      <c r="F100" s="1404"/>
      <c r="G100" s="500"/>
      <c r="K100" s="443"/>
    </row>
    <row r="101" spans="1:11" ht="4.5" customHeight="1" x14ac:dyDescent="0.2">
      <c r="A101" s="357"/>
      <c r="B101" s="440"/>
      <c r="C101" s="440"/>
      <c r="D101" s="440"/>
      <c r="E101" s="440"/>
      <c r="F101" s="440"/>
      <c r="G101" s="440"/>
      <c r="K101" s="443"/>
    </row>
    <row r="102" spans="1:11" ht="15" x14ac:dyDescent="0.2">
      <c r="A102" s="357"/>
      <c r="B102" s="478"/>
      <c r="C102" s="574"/>
      <c r="D102" s="575"/>
      <c r="E102" s="575"/>
      <c r="F102" s="576"/>
      <c r="G102" s="353" t="s">
        <v>262</v>
      </c>
    </row>
    <row r="103" spans="1:11" ht="27" customHeight="1" x14ac:dyDescent="0.2">
      <c r="A103" s="357">
        <v>32</v>
      </c>
      <c r="B103" s="1403" t="s">
        <v>1120</v>
      </c>
      <c r="C103" s="1403"/>
      <c r="D103" s="1403"/>
      <c r="E103" s="1403"/>
      <c r="F103" s="1404"/>
      <c r="G103" s="500"/>
      <c r="K103" s="443"/>
    </row>
    <row r="104" spans="1:11" ht="4.5" customHeight="1" x14ac:dyDescent="0.2">
      <c r="A104" s="357"/>
      <c r="B104" s="440"/>
      <c r="C104" s="440"/>
      <c r="D104" s="440"/>
      <c r="E104" s="440"/>
      <c r="F104" s="440"/>
      <c r="G104" s="440"/>
      <c r="K104" s="443"/>
    </row>
    <row r="105" spans="1:11" ht="15" x14ac:dyDescent="0.2">
      <c r="A105" s="357"/>
      <c r="B105" s="478"/>
      <c r="C105" s="574"/>
      <c r="D105" s="575"/>
      <c r="E105" s="575"/>
      <c r="F105" s="576"/>
      <c r="G105" s="353" t="s">
        <v>262</v>
      </c>
    </row>
    <row r="106" spans="1:11" ht="27" customHeight="1" x14ac:dyDescent="0.2">
      <c r="A106" s="357">
        <v>33</v>
      </c>
      <c r="B106" s="1403" t="s">
        <v>470</v>
      </c>
      <c r="C106" s="1403"/>
      <c r="D106" s="1403"/>
      <c r="E106" s="1403"/>
      <c r="F106" s="1404"/>
      <c r="G106" s="500"/>
      <c r="K106" s="443"/>
    </row>
    <row r="107" spans="1:11" ht="4.5" customHeight="1" x14ac:dyDescent="0.2">
      <c r="A107" s="357"/>
      <c r="B107" s="440"/>
      <c r="C107" s="440"/>
      <c r="D107" s="440"/>
      <c r="E107" s="440"/>
      <c r="F107" s="440"/>
      <c r="G107" s="440"/>
      <c r="K107" s="443"/>
    </row>
    <row r="108" spans="1:11" ht="15" x14ac:dyDescent="0.2">
      <c r="A108" s="357"/>
      <c r="B108" s="478"/>
      <c r="C108" s="574"/>
      <c r="D108" s="575"/>
      <c r="E108" s="575"/>
      <c r="F108" s="576"/>
      <c r="G108" s="353" t="s">
        <v>262</v>
      </c>
    </row>
    <row r="109" spans="1:11" ht="27" customHeight="1" x14ac:dyDescent="0.2">
      <c r="A109" s="357">
        <v>34</v>
      </c>
      <c r="B109" s="1403" t="s">
        <v>471</v>
      </c>
      <c r="C109" s="1403"/>
      <c r="D109" s="1403"/>
      <c r="E109" s="1403"/>
      <c r="F109" s="1404"/>
      <c r="G109" s="500"/>
      <c r="K109" s="443"/>
    </row>
    <row r="110" spans="1:11" ht="4.5" customHeight="1" x14ac:dyDescent="0.2">
      <c r="A110" s="357"/>
      <c r="B110" s="440"/>
      <c r="C110" s="440"/>
      <c r="D110" s="440"/>
      <c r="E110" s="440"/>
      <c r="F110" s="440"/>
      <c r="G110" s="440"/>
      <c r="K110" s="443"/>
    </row>
    <row r="111" spans="1:11" ht="15" hidden="1" x14ac:dyDescent="0.2">
      <c r="A111" s="357"/>
      <c r="B111" s="478"/>
      <c r="C111" s="574"/>
      <c r="D111" s="575"/>
      <c r="E111" s="575"/>
      <c r="F111" s="576"/>
      <c r="G111" s="353"/>
    </row>
    <row r="112" spans="1:11" ht="27" hidden="1" customHeight="1" x14ac:dyDescent="0.2">
      <c r="A112" s="357">
        <v>35</v>
      </c>
      <c r="B112" s="1403" t="s">
        <v>260</v>
      </c>
      <c r="C112" s="1403"/>
      <c r="D112" s="1403"/>
      <c r="E112" s="1403"/>
      <c r="F112" s="1404"/>
      <c r="G112" s="577"/>
      <c r="K112" s="443"/>
    </row>
    <row r="113" spans="1:11" ht="4.5" hidden="1" customHeight="1" x14ac:dyDescent="0.2">
      <c r="A113" s="357"/>
      <c r="B113" s="440"/>
      <c r="C113" s="440"/>
      <c r="D113" s="440"/>
      <c r="E113" s="440"/>
      <c r="F113" s="440"/>
      <c r="G113" s="440"/>
      <c r="K113" s="443"/>
    </row>
    <row r="114" spans="1:11" ht="15" hidden="1" x14ac:dyDescent="0.2">
      <c r="A114" s="357"/>
      <c r="B114" s="478"/>
      <c r="C114" s="574"/>
      <c r="D114" s="575"/>
      <c r="E114" s="575"/>
      <c r="F114" s="576"/>
      <c r="G114" s="353"/>
    </row>
    <row r="115" spans="1:11" ht="27" hidden="1" customHeight="1" x14ac:dyDescent="0.2">
      <c r="A115" s="357">
        <v>36</v>
      </c>
      <c r="B115" s="1403" t="s">
        <v>260</v>
      </c>
      <c r="C115" s="1403"/>
      <c r="D115" s="1403"/>
      <c r="E115" s="1403"/>
      <c r="F115" s="1404"/>
      <c r="G115" s="577"/>
      <c r="K115" s="443"/>
    </row>
    <row r="116" spans="1:11" ht="4.5" hidden="1" customHeight="1" x14ac:dyDescent="0.2">
      <c r="A116" s="357"/>
      <c r="B116" s="440"/>
      <c r="C116" s="440"/>
      <c r="D116" s="440"/>
      <c r="E116" s="440"/>
      <c r="F116" s="440"/>
      <c r="G116" s="440"/>
      <c r="K116" s="443"/>
    </row>
    <row r="117" spans="1:11" ht="15" hidden="1" x14ac:dyDescent="0.2">
      <c r="A117" s="357"/>
      <c r="B117" s="478"/>
      <c r="C117" s="574"/>
      <c r="D117" s="575"/>
      <c r="E117" s="575"/>
      <c r="F117" s="576"/>
      <c r="G117" s="353"/>
    </row>
    <row r="118" spans="1:11" ht="27" hidden="1" customHeight="1" x14ac:dyDescent="0.2">
      <c r="A118" s="357">
        <v>37</v>
      </c>
      <c r="B118" s="1403" t="s">
        <v>260</v>
      </c>
      <c r="C118" s="1403"/>
      <c r="D118" s="1403"/>
      <c r="E118" s="1403"/>
      <c r="F118" s="1404"/>
      <c r="G118" s="577"/>
      <c r="K118" s="443"/>
    </row>
    <row r="119" spans="1:11" ht="4.5" hidden="1" customHeight="1" x14ac:dyDescent="0.2">
      <c r="A119" s="357"/>
      <c r="B119" s="440"/>
      <c r="C119" s="440"/>
      <c r="D119" s="440"/>
      <c r="E119" s="440"/>
      <c r="F119" s="440"/>
      <c r="G119" s="440"/>
      <c r="K119" s="443"/>
    </row>
    <row r="120" spans="1:11" ht="15" hidden="1" x14ac:dyDescent="0.2">
      <c r="A120" s="357"/>
      <c r="B120" s="478"/>
      <c r="C120" s="574"/>
      <c r="D120" s="575"/>
      <c r="E120" s="575"/>
      <c r="F120" s="576"/>
      <c r="G120" s="353"/>
    </row>
    <row r="121" spans="1:11" ht="27" hidden="1" customHeight="1" x14ac:dyDescent="0.2">
      <c r="A121" s="357">
        <v>38</v>
      </c>
      <c r="B121" s="1403" t="s">
        <v>260</v>
      </c>
      <c r="C121" s="1403"/>
      <c r="D121" s="1403"/>
      <c r="E121" s="1403"/>
      <c r="F121" s="1404"/>
      <c r="G121" s="577"/>
      <c r="K121" s="443"/>
    </row>
    <row r="122" spans="1:11" ht="4.5" hidden="1" customHeight="1" x14ac:dyDescent="0.2">
      <c r="A122" s="357"/>
      <c r="B122" s="440"/>
      <c r="C122" s="440"/>
      <c r="D122" s="440"/>
      <c r="E122" s="440"/>
      <c r="F122" s="440"/>
      <c r="G122" s="440"/>
      <c r="K122" s="443"/>
    </row>
    <row r="123" spans="1:11" ht="15" hidden="1" x14ac:dyDescent="0.2">
      <c r="A123" s="357"/>
      <c r="B123" s="478"/>
      <c r="C123" s="574"/>
      <c r="D123" s="575"/>
      <c r="E123" s="575"/>
      <c r="F123" s="576"/>
      <c r="G123" s="353"/>
    </row>
    <row r="124" spans="1:11" ht="27" hidden="1" customHeight="1" x14ac:dyDescent="0.2">
      <c r="A124" s="357">
        <v>39</v>
      </c>
      <c r="B124" s="1403" t="s">
        <v>260</v>
      </c>
      <c r="C124" s="1403"/>
      <c r="D124" s="1403"/>
      <c r="E124" s="1403"/>
      <c r="F124" s="1404"/>
      <c r="G124" s="577"/>
      <c r="K124" s="443"/>
    </row>
    <row r="125" spans="1:11" ht="4.5" hidden="1" customHeight="1" x14ac:dyDescent="0.2">
      <c r="A125" s="357"/>
      <c r="B125" s="440"/>
      <c r="C125" s="440"/>
      <c r="D125" s="440"/>
      <c r="E125" s="440"/>
      <c r="F125" s="440"/>
      <c r="G125" s="440"/>
      <c r="K125" s="443"/>
    </row>
    <row r="126" spans="1:11" ht="15" hidden="1" x14ac:dyDescent="0.2">
      <c r="A126" s="357"/>
      <c r="B126" s="478"/>
      <c r="C126" s="574"/>
      <c r="D126" s="575"/>
      <c r="E126" s="575"/>
      <c r="F126" s="576"/>
      <c r="G126" s="353"/>
    </row>
    <row r="127" spans="1:11" ht="27" hidden="1" customHeight="1" x14ac:dyDescent="0.2">
      <c r="A127" s="357">
        <v>40</v>
      </c>
      <c r="B127" s="1403" t="s">
        <v>260</v>
      </c>
      <c r="C127" s="1403"/>
      <c r="D127" s="1403"/>
      <c r="E127" s="1403"/>
      <c r="F127" s="1404"/>
      <c r="G127" s="577"/>
      <c r="K127" s="443"/>
    </row>
    <row r="128" spans="1:11" ht="4.5" hidden="1" customHeight="1" x14ac:dyDescent="0.2">
      <c r="A128" s="357"/>
      <c r="B128" s="440"/>
      <c r="C128" s="440"/>
      <c r="D128" s="440"/>
      <c r="E128" s="440"/>
      <c r="F128" s="440"/>
      <c r="G128" s="440"/>
      <c r="K128" s="443"/>
    </row>
    <row r="129" spans="1:11" ht="15" hidden="1" x14ac:dyDescent="0.2">
      <c r="A129" s="357"/>
      <c r="B129" s="478"/>
      <c r="C129" s="574"/>
      <c r="D129" s="575"/>
      <c r="E129" s="575"/>
      <c r="F129" s="576"/>
      <c r="G129" s="353"/>
    </row>
    <row r="130" spans="1:11" ht="27" hidden="1" customHeight="1" x14ac:dyDescent="0.2">
      <c r="A130" s="357">
        <v>41</v>
      </c>
      <c r="B130" s="1403" t="s">
        <v>260</v>
      </c>
      <c r="C130" s="1403"/>
      <c r="D130" s="1403"/>
      <c r="E130" s="1403"/>
      <c r="F130" s="1404"/>
      <c r="G130" s="577"/>
      <c r="K130" s="443"/>
    </row>
    <row r="131" spans="1:11" ht="4.5" hidden="1" customHeight="1" x14ac:dyDescent="0.2">
      <c r="A131" s="357"/>
      <c r="B131" s="440"/>
      <c r="C131" s="440"/>
      <c r="D131" s="440"/>
      <c r="E131" s="440"/>
      <c r="F131" s="440"/>
      <c r="G131" s="440"/>
      <c r="K131" s="443"/>
    </row>
    <row r="132" spans="1:11" ht="15" hidden="1" x14ac:dyDescent="0.2">
      <c r="A132" s="357"/>
      <c r="B132" s="478"/>
      <c r="C132" s="574"/>
      <c r="D132" s="575"/>
      <c r="E132" s="575"/>
      <c r="F132" s="576"/>
      <c r="G132" s="353"/>
    </row>
    <row r="133" spans="1:11" ht="27" hidden="1" customHeight="1" x14ac:dyDescent="0.2">
      <c r="A133" s="357">
        <v>42</v>
      </c>
      <c r="B133" s="1403" t="s">
        <v>260</v>
      </c>
      <c r="C133" s="1403"/>
      <c r="D133" s="1403"/>
      <c r="E133" s="1403"/>
      <c r="F133" s="1404"/>
      <c r="G133" s="577"/>
      <c r="K133" s="443"/>
    </row>
    <row r="134" spans="1:11" ht="4.5" hidden="1" customHeight="1" x14ac:dyDescent="0.2">
      <c r="A134" s="357"/>
      <c r="B134" s="440"/>
      <c r="C134" s="440"/>
      <c r="D134" s="440"/>
      <c r="E134" s="440"/>
      <c r="F134" s="440"/>
      <c r="G134" s="440"/>
      <c r="K134" s="443"/>
    </row>
    <row r="135" spans="1:11" ht="15" hidden="1" x14ac:dyDescent="0.2">
      <c r="A135" s="357"/>
      <c r="B135" s="478"/>
      <c r="C135" s="574"/>
      <c r="D135" s="575"/>
      <c r="E135" s="575"/>
      <c r="F135" s="576"/>
      <c r="G135" s="353"/>
    </row>
    <row r="136" spans="1:11" ht="27" hidden="1" customHeight="1" x14ac:dyDescent="0.2">
      <c r="A136" s="357">
        <v>43</v>
      </c>
      <c r="B136" s="1403" t="s">
        <v>260</v>
      </c>
      <c r="C136" s="1403"/>
      <c r="D136" s="1403"/>
      <c r="E136" s="1403"/>
      <c r="F136" s="1404"/>
      <c r="G136" s="577"/>
      <c r="K136" s="443"/>
    </row>
    <row r="137" spans="1:11" ht="4.5" hidden="1" customHeight="1" x14ac:dyDescent="0.2">
      <c r="A137" s="357"/>
      <c r="B137" s="440"/>
      <c r="C137" s="440"/>
      <c r="D137" s="440"/>
      <c r="E137" s="440"/>
      <c r="F137" s="440"/>
      <c r="G137" s="440"/>
      <c r="K137" s="443"/>
    </row>
    <row r="138" spans="1:11" ht="15" hidden="1" x14ac:dyDescent="0.2">
      <c r="A138" s="357"/>
      <c r="B138" s="478"/>
      <c r="C138" s="574"/>
      <c r="D138" s="575"/>
      <c r="E138" s="575"/>
      <c r="F138" s="576"/>
      <c r="G138" s="353"/>
    </row>
    <row r="139" spans="1:11" ht="27" hidden="1" customHeight="1" x14ac:dyDescent="0.2">
      <c r="A139" s="357"/>
      <c r="B139" s="1403"/>
      <c r="C139" s="1403"/>
      <c r="D139" s="1403"/>
      <c r="E139" s="1403"/>
      <c r="F139" s="1404"/>
      <c r="G139" s="500"/>
      <c r="K139" s="443"/>
    </row>
    <row r="140" spans="1:11" ht="4.5" hidden="1" customHeight="1" x14ac:dyDescent="0.2">
      <c r="A140" s="357"/>
      <c r="B140" s="440"/>
      <c r="C140" s="440"/>
      <c r="D140" s="440"/>
      <c r="E140" s="440"/>
      <c r="F140" s="440"/>
      <c r="G140" s="440"/>
      <c r="K140" s="443"/>
    </row>
    <row r="141" spans="1:11" ht="15" hidden="1" x14ac:dyDescent="0.2">
      <c r="A141" s="357"/>
      <c r="B141" s="478"/>
      <c r="C141" s="574"/>
      <c r="D141" s="575"/>
      <c r="E141" s="575"/>
      <c r="F141" s="576"/>
      <c r="G141" s="353"/>
    </row>
    <row r="142" spans="1:11" ht="27" hidden="1" customHeight="1" x14ac:dyDescent="0.2">
      <c r="A142" s="357"/>
      <c r="B142" s="1403"/>
      <c r="C142" s="1403"/>
      <c r="D142" s="1403"/>
      <c r="E142" s="1403"/>
      <c r="F142" s="1404"/>
      <c r="G142" s="500"/>
      <c r="K142" s="443"/>
    </row>
    <row r="143" spans="1:11" ht="4.5" hidden="1" customHeight="1" x14ac:dyDescent="0.2">
      <c r="A143" s="357"/>
      <c r="B143" s="440"/>
      <c r="C143" s="440"/>
      <c r="D143" s="440"/>
      <c r="E143" s="440"/>
      <c r="F143" s="440"/>
      <c r="G143" s="440"/>
      <c r="K143" s="443"/>
    </row>
    <row r="144" spans="1:11" ht="15" hidden="1" x14ac:dyDescent="0.2">
      <c r="A144" s="357"/>
      <c r="B144" s="478"/>
      <c r="C144" s="574"/>
      <c r="D144" s="575"/>
      <c r="E144" s="575"/>
      <c r="F144" s="576"/>
      <c r="G144" s="353"/>
    </row>
    <row r="145" spans="1:11" ht="27" hidden="1" customHeight="1" x14ac:dyDescent="0.2">
      <c r="A145" s="357">
        <v>46</v>
      </c>
      <c r="B145" s="1403" t="s">
        <v>260</v>
      </c>
      <c r="C145" s="1403"/>
      <c r="D145" s="1403"/>
      <c r="E145" s="1403"/>
      <c r="F145" s="1404"/>
      <c r="G145" s="577"/>
      <c r="K145" s="443"/>
    </row>
    <row r="146" spans="1:11" ht="4.3499999999999996" hidden="1" customHeight="1" x14ac:dyDescent="0.2">
      <c r="A146" s="357"/>
      <c r="B146" s="440"/>
      <c r="C146" s="440"/>
      <c r="D146" s="440"/>
      <c r="E146" s="440"/>
      <c r="F146" s="440"/>
      <c r="G146" s="607"/>
      <c r="K146" s="443"/>
    </row>
    <row r="147" spans="1:11" ht="15" hidden="1" customHeight="1" x14ac:dyDescent="0.2">
      <c r="A147" s="357"/>
      <c r="B147" s="440"/>
      <c r="C147" s="440"/>
      <c r="D147" s="440"/>
      <c r="E147" s="440"/>
      <c r="F147" s="440"/>
      <c r="G147" s="845"/>
      <c r="K147" s="443"/>
    </row>
    <row r="148" spans="1:11" ht="27" hidden="1" customHeight="1" x14ac:dyDescent="0.2">
      <c r="A148" s="357">
        <v>47</v>
      </c>
      <c r="B148" s="1403" t="s">
        <v>260</v>
      </c>
      <c r="C148" s="1403"/>
      <c r="D148" s="1403"/>
      <c r="E148" s="1403"/>
      <c r="F148" s="1404"/>
      <c r="G148" s="577"/>
      <c r="K148" s="443"/>
    </row>
    <row r="149" spans="1:11" ht="4.3499999999999996" hidden="1" customHeight="1" x14ac:dyDescent="0.2">
      <c r="A149" s="357"/>
      <c r="B149" s="321"/>
      <c r="C149" s="440"/>
      <c r="D149" s="440"/>
      <c r="E149" s="440"/>
      <c r="F149" s="440"/>
      <c r="G149" s="440"/>
      <c r="K149" s="443"/>
    </row>
    <row r="150" spans="1:11" ht="15" hidden="1" customHeight="1" x14ac:dyDescent="0.2">
      <c r="A150" s="357"/>
      <c r="B150" s="440"/>
      <c r="C150" s="440"/>
      <c r="D150" s="440"/>
      <c r="E150" s="440"/>
      <c r="F150" s="440"/>
      <c r="G150" s="845"/>
      <c r="K150" s="443"/>
    </row>
    <row r="151" spans="1:11" ht="27" hidden="1" customHeight="1" x14ac:dyDescent="0.2">
      <c r="A151" s="357">
        <v>48</v>
      </c>
      <c r="B151" s="1403" t="s">
        <v>260</v>
      </c>
      <c r="C151" s="1403"/>
      <c r="D151" s="1403"/>
      <c r="E151" s="1403"/>
      <c r="F151" s="1404"/>
      <c r="G151" s="577"/>
      <c r="K151" s="443"/>
    </row>
    <row r="152" spans="1:11" ht="3.6" hidden="1" customHeight="1" x14ac:dyDescent="0.2">
      <c r="A152" s="357"/>
      <c r="B152" s="440"/>
      <c r="C152" s="440"/>
      <c r="D152" s="440"/>
      <c r="E152" s="440"/>
      <c r="F152" s="440"/>
      <c r="G152" s="607"/>
      <c r="K152" s="443"/>
    </row>
    <row r="153" spans="1:11" ht="15" hidden="1" customHeight="1" x14ac:dyDescent="0.2">
      <c r="A153" s="357"/>
      <c r="B153" s="440"/>
      <c r="C153" s="440"/>
      <c r="D153" s="440"/>
      <c r="E153" s="440"/>
      <c r="F153" s="440"/>
      <c r="G153" s="845"/>
      <c r="K153" s="443"/>
    </row>
    <row r="154" spans="1:11" ht="27" hidden="1" customHeight="1" x14ac:dyDescent="0.2">
      <c r="A154" s="357">
        <v>49</v>
      </c>
      <c r="B154" s="1403" t="s">
        <v>260</v>
      </c>
      <c r="C154" s="1403"/>
      <c r="D154" s="1403"/>
      <c r="E154" s="1403"/>
      <c r="F154" s="1404"/>
      <c r="G154" s="577"/>
      <c r="K154" s="443"/>
    </row>
    <row r="155" spans="1:11" ht="4.5" hidden="1" customHeight="1" x14ac:dyDescent="0.2">
      <c r="A155" s="357"/>
      <c r="B155" s="440"/>
      <c r="C155" s="440"/>
      <c r="D155" s="440"/>
      <c r="E155" s="440"/>
      <c r="F155" s="440"/>
      <c r="G155" s="440"/>
      <c r="K155" s="443"/>
    </row>
    <row r="156" spans="1:11" ht="15" hidden="1" x14ac:dyDescent="0.2">
      <c r="A156" s="357"/>
      <c r="B156" s="478"/>
      <c r="C156" s="574"/>
      <c r="D156" s="575"/>
      <c r="E156" s="575"/>
      <c r="F156" s="576"/>
      <c r="G156" s="845"/>
    </row>
    <row r="157" spans="1:11" ht="27" hidden="1" customHeight="1" x14ac:dyDescent="0.2">
      <c r="A157" s="357">
        <v>50</v>
      </c>
      <c r="B157" s="1403" t="s">
        <v>260</v>
      </c>
      <c r="C157" s="1403"/>
      <c r="D157" s="1403"/>
      <c r="E157" s="1403"/>
      <c r="F157" s="1404"/>
      <c r="G157" s="577"/>
      <c r="K157" s="443"/>
    </row>
    <row r="158" spans="1:11" ht="4.5" hidden="1" customHeight="1" x14ac:dyDescent="0.2">
      <c r="A158" s="357"/>
      <c r="B158" s="440"/>
      <c r="C158" s="440"/>
      <c r="D158" s="440"/>
      <c r="E158" s="440"/>
      <c r="F158" s="440"/>
      <c r="G158" s="440"/>
      <c r="K158" s="443"/>
    </row>
    <row r="159" spans="1:11" ht="15" hidden="1" x14ac:dyDescent="0.2">
      <c r="A159" s="357"/>
      <c r="B159" s="478"/>
      <c r="C159" s="574"/>
      <c r="D159" s="575"/>
      <c r="E159" s="575"/>
      <c r="F159" s="576"/>
      <c r="G159" s="845"/>
    </row>
    <row r="160" spans="1:11" ht="27" hidden="1" customHeight="1" x14ac:dyDescent="0.2">
      <c r="A160" s="357">
        <v>51</v>
      </c>
      <c r="B160" s="1403" t="s">
        <v>260</v>
      </c>
      <c r="C160" s="1403"/>
      <c r="D160" s="1403"/>
      <c r="E160" s="1403"/>
      <c r="F160" s="1404"/>
      <c r="G160" s="577"/>
      <c r="K160" s="443"/>
    </row>
    <row r="161" spans="1:11" ht="4.5" hidden="1" customHeight="1" x14ac:dyDescent="0.2">
      <c r="A161" s="357"/>
      <c r="B161" s="440"/>
      <c r="C161" s="440"/>
      <c r="D161" s="440"/>
      <c r="E161" s="440"/>
      <c r="F161" s="440"/>
      <c r="G161" s="440"/>
      <c r="K161" s="443"/>
    </row>
    <row r="162" spans="1:11" ht="15" hidden="1" x14ac:dyDescent="0.2">
      <c r="A162" s="357"/>
      <c r="B162" s="478"/>
      <c r="C162" s="574"/>
      <c r="D162" s="575"/>
      <c r="E162" s="575"/>
      <c r="F162" s="576"/>
      <c r="G162" s="845"/>
    </row>
    <row r="163" spans="1:11" ht="27" hidden="1" customHeight="1" x14ac:dyDescent="0.2">
      <c r="A163" s="357">
        <v>52</v>
      </c>
      <c r="B163" s="1403" t="s">
        <v>260</v>
      </c>
      <c r="C163" s="1403"/>
      <c r="D163" s="1403"/>
      <c r="E163" s="1403"/>
      <c r="F163" s="1404"/>
      <c r="G163" s="577"/>
      <c r="K163" s="443"/>
    </row>
    <row r="164" spans="1:11" ht="4.5" hidden="1" customHeight="1" x14ac:dyDescent="0.2">
      <c r="A164" s="357"/>
      <c r="B164" s="440"/>
      <c r="C164" s="440"/>
      <c r="D164" s="440"/>
      <c r="E164" s="440"/>
      <c r="F164" s="440"/>
      <c r="G164" s="440"/>
      <c r="K164" s="443"/>
    </row>
    <row r="165" spans="1:11" ht="15" hidden="1" x14ac:dyDescent="0.2">
      <c r="A165" s="357"/>
      <c r="B165" s="478"/>
      <c r="C165" s="574"/>
      <c r="D165" s="575"/>
      <c r="E165" s="575"/>
      <c r="F165" s="576"/>
      <c r="G165" s="845"/>
    </row>
    <row r="166" spans="1:11" ht="27" hidden="1" customHeight="1" x14ac:dyDescent="0.2">
      <c r="A166" s="357">
        <v>53</v>
      </c>
      <c r="B166" s="1403" t="s">
        <v>260</v>
      </c>
      <c r="C166" s="1403"/>
      <c r="D166" s="1403"/>
      <c r="E166" s="1403"/>
      <c r="F166" s="1404"/>
      <c r="G166" s="577"/>
      <c r="K166" s="443"/>
    </row>
    <row r="167" spans="1:11" ht="4.5" hidden="1" customHeight="1" x14ac:dyDescent="0.2">
      <c r="A167" s="357"/>
      <c r="B167" s="440"/>
      <c r="C167" s="440"/>
      <c r="D167" s="440"/>
      <c r="E167" s="440"/>
      <c r="F167" s="440"/>
      <c r="G167" s="440"/>
      <c r="K167" s="443"/>
    </row>
    <row r="168" spans="1:11" ht="15" hidden="1" x14ac:dyDescent="0.2">
      <c r="A168" s="357"/>
      <c r="B168" s="478"/>
      <c r="C168" s="574"/>
      <c r="D168" s="575"/>
      <c r="E168" s="575"/>
      <c r="F168" s="576"/>
      <c r="G168" s="845"/>
    </row>
    <row r="169" spans="1:11" ht="27" hidden="1" customHeight="1" x14ac:dyDescent="0.2">
      <c r="A169" s="357">
        <v>54</v>
      </c>
      <c r="B169" s="1403" t="s">
        <v>260</v>
      </c>
      <c r="C169" s="1403"/>
      <c r="D169" s="1403"/>
      <c r="E169" s="1403"/>
      <c r="F169" s="1404"/>
      <c r="G169" s="577"/>
      <c r="K169" s="443"/>
    </row>
    <row r="170" spans="1:11" ht="4.3499999999999996" hidden="1" customHeight="1" x14ac:dyDescent="0.2">
      <c r="A170" s="357"/>
      <c r="B170" s="440"/>
      <c r="C170" s="440"/>
      <c r="D170" s="440"/>
      <c r="E170" s="440"/>
      <c r="F170" s="440"/>
      <c r="G170" s="440"/>
      <c r="K170" s="443"/>
    </row>
    <row r="171" spans="1:11" ht="15" hidden="1" x14ac:dyDescent="0.2">
      <c r="A171" s="357"/>
      <c r="B171" s="478"/>
      <c r="C171" s="574"/>
      <c r="D171" s="575"/>
      <c r="E171" s="575"/>
      <c r="F171" s="576"/>
      <c r="G171" s="845" t="s">
        <v>262</v>
      </c>
    </row>
    <row r="172" spans="1:11" ht="27" hidden="1" customHeight="1" x14ac:dyDescent="0.2">
      <c r="A172" s="357">
        <v>55</v>
      </c>
      <c r="B172" s="1403" t="s">
        <v>861</v>
      </c>
      <c r="C172" s="1403"/>
      <c r="D172" s="1403"/>
      <c r="E172" s="1403"/>
      <c r="F172" s="1404"/>
      <c r="G172" s="864"/>
      <c r="K172" s="443"/>
    </row>
    <row r="173" spans="1:11" ht="4.5" hidden="1" customHeight="1" x14ac:dyDescent="0.2">
      <c r="A173" s="357"/>
      <c r="B173" s="440"/>
      <c r="C173" s="440"/>
      <c r="D173" s="440"/>
      <c r="E173" s="440"/>
      <c r="F173" s="440"/>
      <c r="G173" s="440"/>
      <c r="K173" s="443"/>
    </row>
    <row r="174" spans="1:11" ht="15" hidden="1" x14ac:dyDescent="0.2">
      <c r="A174" s="357"/>
      <c r="B174" s="478"/>
      <c r="C174" s="574"/>
      <c r="D174" s="575"/>
      <c r="E174" s="575"/>
      <c r="F174" s="576"/>
      <c r="G174" s="845" t="s">
        <v>862</v>
      </c>
    </row>
    <row r="175" spans="1:11" ht="27" hidden="1" customHeight="1" x14ac:dyDescent="0.2">
      <c r="A175" s="357">
        <v>56</v>
      </c>
      <c r="B175" s="1403" t="s">
        <v>863</v>
      </c>
      <c r="C175" s="1403"/>
      <c r="D175" s="1403"/>
      <c r="E175" s="1403"/>
      <c r="F175" s="1404"/>
      <c r="G175" s="864"/>
      <c r="K175" s="443"/>
    </row>
    <row r="176" spans="1:11" ht="4.5" hidden="1" customHeight="1" x14ac:dyDescent="0.2">
      <c r="A176" s="357"/>
      <c r="B176" s="440"/>
      <c r="C176" s="440"/>
      <c r="D176" s="440"/>
      <c r="E176" s="440"/>
      <c r="F176" s="440"/>
      <c r="G176" s="440"/>
      <c r="K176" s="443"/>
    </row>
    <row r="177" spans="1:11" ht="15" hidden="1" x14ac:dyDescent="0.2">
      <c r="A177" s="357"/>
      <c r="B177" s="478"/>
      <c r="C177" s="574"/>
      <c r="D177" s="575"/>
      <c r="E177" s="575"/>
      <c r="F177" s="576"/>
      <c r="G177" s="845"/>
    </row>
    <row r="178" spans="1:11" ht="27" hidden="1" customHeight="1" x14ac:dyDescent="0.2">
      <c r="A178" s="357">
        <v>57</v>
      </c>
      <c r="B178" s="1403" t="s">
        <v>260</v>
      </c>
      <c r="C178" s="1403"/>
      <c r="D178" s="1403"/>
      <c r="E178" s="1403"/>
      <c r="F178" s="1404"/>
      <c r="G178" s="577"/>
      <c r="K178" s="443"/>
    </row>
    <row r="179" spans="1:11" ht="4.5" hidden="1" customHeight="1" x14ac:dyDescent="0.2">
      <c r="A179" s="357"/>
      <c r="B179" s="440"/>
      <c r="C179" s="440"/>
      <c r="D179" s="440"/>
      <c r="E179" s="440"/>
      <c r="F179" s="440"/>
      <c r="G179" s="440"/>
      <c r="K179" s="443"/>
    </row>
    <row r="180" spans="1:11" ht="15" hidden="1" x14ac:dyDescent="0.2">
      <c r="A180" s="357"/>
      <c r="B180" s="478"/>
      <c r="C180" s="574"/>
      <c r="D180" s="575"/>
      <c r="E180" s="575"/>
      <c r="F180" s="576"/>
      <c r="G180" s="845"/>
    </row>
    <row r="181" spans="1:11" ht="27" hidden="1" customHeight="1" x14ac:dyDescent="0.2">
      <c r="A181" s="357">
        <v>58</v>
      </c>
      <c r="B181" s="1403" t="s">
        <v>260</v>
      </c>
      <c r="C181" s="1403"/>
      <c r="D181" s="1403"/>
      <c r="E181" s="1403"/>
      <c r="F181" s="1404"/>
      <c r="G181" s="577"/>
      <c r="K181" s="443"/>
    </row>
    <row r="182" spans="1:11" ht="4.5" hidden="1" customHeight="1" x14ac:dyDescent="0.2">
      <c r="A182" s="357"/>
      <c r="B182" s="440"/>
      <c r="C182" s="440"/>
      <c r="D182" s="440"/>
      <c r="E182" s="440"/>
      <c r="F182" s="440"/>
      <c r="G182" s="440"/>
      <c r="K182" s="443"/>
    </row>
    <row r="183" spans="1:11" ht="15" hidden="1" x14ac:dyDescent="0.2">
      <c r="A183" s="357"/>
      <c r="B183" s="478"/>
      <c r="C183" s="574"/>
      <c r="D183" s="575"/>
      <c r="E183" s="575"/>
      <c r="F183" s="576"/>
      <c r="G183" s="845"/>
    </row>
    <row r="184" spans="1:11" ht="27" hidden="1" customHeight="1" x14ac:dyDescent="0.2">
      <c r="A184" s="357">
        <v>59</v>
      </c>
      <c r="B184" s="1403" t="s">
        <v>260</v>
      </c>
      <c r="C184" s="1403"/>
      <c r="D184" s="1403"/>
      <c r="E184" s="1403"/>
      <c r="F184" s="1404"/>
      <c r="G184" s="577"/>
      <c r="K184" s="443"/>
    </row>
    <row r="185" spans="1:11" ht="3.6" hidden="1" customHeight="1" x14ac:dyDescent="0.2">
      <c r="A185" s="357"/>
      <c r="B185" s="478"/>
      <c r="C185" s="574"/>
      <c r="D185" s="575"/>
      <c r="E185" s="575"/>
      <c r="F185" s="576"/>
      <c r="G185" s="443"/>
    </row>
    <row r="186" spans="1:11" ht="15" hidden="1" x14ac:dyDescent="0.2">
      <c r="A186" s="357"/>
      <c r="B186" s="478"/>
      <c r="C186" s="574"/>
      <c r="D186" s="575"/>
      <c r="E186" s="575"/>
      <c r="F186" s="576"/>
      <c r="G186" s="845"/>
    </row>
    <row r="187" spans="1:11" ht="27" hidden="1" customHeight="1" x14ac:dyDescent="0.2">
      <c r="A187" s="357">
        <v>60</v>
      </c>
      <c r="B187" s="1403" t="s">
        <v>260</v>
      </c>
      <c r="C187" s="1403"/>
      <c r="D187" s="1403"/>
      <c r="E187" s="1403"/>
      <c r="F187" s="1404"/>
      <c r="G187" s="577"/>
      <c r="K187" s="443"/>
    </row>
    <row r="188" spans="1:11" ht="3.6" hidden="1" customHeight="1" x14ac:dyDescent="0.2">
      <c r="A188" s="357"/>
      <c r="B188" s="478"/>
      <c r="C188" s="574"/>
      <c r="D188" s="575"/>
      <c r="E188" s="575"/>
      <c r="F188" s="576"/>
      <c r="G188" s="443"/>
    </row>
    <row r="189" spans="1:11" ht="15" hidden="1" x14ac:dyDescent="0.2">
      <c r="A189" s="357"/>
      <c r="B189" s="478"/>
      <c r="C189" s="574"/>
      <c r="D189" s="575"/>
      <c r="E189" s="575"/>
      <c r="F189" s="576"/>
      <c r="G189" s="845"/>
    </row>
    <row r="190" spans="1:11" ht="27" hidden="1" customHeight="1" x14ac:dyDescent="0.2">
      <c r="A190" s="357">
        <v>61</v>
      </c>
      <c r="B190" s="1403" t="s">
        <v>260</v>
      </c>
      <c r="C190" s="1403"/>
      <c r="D190" s="1403"/>
      <c r="E190" s="1403"/>
      <c r="F190" s="1404"/>
      <c r="G190" s="577"/>
      <c r="K190" s="443"/>
    </row>
    <row r="191" spans="1:11" ht="4.5" hidden="1" customHeight="1" x14ac:dyDescent="0.2">
      <c r="A191" s="357"/>
      <c r="B191" s="440"/>
      <c r="C191" s="440"/>
      <c r="D191" s="440"/>
      <c r="E191" s="440"/>
      <c r="F191" s="440"/>
      <c r="G191" s="440"/>
      <c r="K191" s="443"/>
    </row>
    <row r="192" spans="1:11" ht="15" x14ac:dyDescent="0.2">
      <c r="A192" s="357"/>
      <c r="B192" s="478"/>
      <c r="C192" s="574"/>
      <c r="D192" s="575"/>
      <c r="E192" s="575"/>
      <c r="F192" s="576"/>
      <c r="G192" s="845" t="s">
        <v>262</v>
      </c>
      <c r="K192" s="328"/>
    </row>
    <row r="193" spans="1:11" ht="27" customHeight="1" x14ac:dyDescent="0.2">
      <c r="A193" s="357">
        <v>62</v>
      </c>
      <c r="B193" s="1403" t="s">
        <v>1084</v>
      </c>
      <c r="C193" s="1403"/>
      <c r="D193" s="1403"/>
      <c r="E193" s="1403"/>
      <c r="F193" s="1404"/>
      <c r="G193" s="864"/>
      <c r="K193" s="1306"/>
    </row>
    <row r="194" spans="1:11" ht="4.5" customHeight="1" x14ac:dyDescent="0.2">
      <c r="A194" s="357"/>
      <c r="B194" s="440"/>
      <c r="C194" s="440"/>
      <c r="D194" s="440"/>
      <c r="E194" s="440"/>
      <c r="F194" s="440"/>
      <c r="G194" s="440"/>
      <c r="K194" s="1306"/>
    </row>
    <row r="195" spans="1:11" ht="15" x14ac:dyDescent="0.2">
      <c r="A195" s="357"/>
      <c r="B195" s="478"/>
      <c r="C195" s="574"/>
      <c r="D195" s="575"/>
      <c r="E195" s="575"/>
      <c r="F195" s="576"/>
      <c r="G195" s="845" t="s">
        <v>262</v>
      </c>
      <c r="K195" s="328"/>
    </row>
    <row r="196" spans="1:11" ht="27" customHeight="1" x14ac:dyDescent="0.2">
      <c r="A196" s="357">
        <v>63</v>
      </c>
      <c r="B196" s="1403" t="s">
        <v>1085</v>
      </c>
      <c r="C196" s="1403"/>
      <c r="D196" s="1403"/>
      <c r="E196" s="1403"/>
      <c r="F196" s="1404"/>
      <c r="G196" s="864"/>
      <c r="K196" s="1306"/>
    </row>
    <row r="197" spans="1:11" ht="4.5" customHeight="1" x14ac:dyDescent="0.2">
      <c r="A197" s="357"/>
      <c r="B197" s="440"/>
      <c r="C197" s="440"/>
      <c r="D197" s="440"/>
      <c r="E197" s="440"/>
      <c r="F197" s="440"/>
      <c r="G197" s="440"/>
      <c r="K197" s="1306"/>
    </row>
    <row r="198" spans="1:11" ht="15" x14ac:dyDescent="0.2">
      <c r="A198" s="357"/>
      <c r="B198" s="478"/>
      <c r="C198" s="574"/>
      <c r="D198" s="575"/>
      <c r="E198" s="575"/>
      <c r="F198" s="576"/>
      <c r="G198" s="845" t="s">
        <v>262</v>
      </c>
      <c r="K198" s="328"/>
    </row>
    <row r="199" spans="1:11" ht="27" customHeight="1" x14ac:dyDescent="0.2">
      <c r="A199" s="357">
        <v>64</v>
      </c>
      <c r="B199" s="1403" t="s">
        <v>1121</v>
      </c>
      <c r="C199" s="1403"/>
      <c r="D199" s="1403"/>
      <c r="E199" s="1403"/>
      <c r="F199" s="1404"/>
      <c r="G199" s="864"/>
      <c r="K199" s="1306"/>
    </row>
    <row r="200" spans="1:11" ht="4.3499999999999996" hidden="1" customHeight="1" x14ac:dyDescent="0.2">
      <c r="A200" s="357"/>
      <c r="B200" s="440"/>
      <c r="C200" s="440"/>
      <c r="D200" s="440"/>
      <c r="E200" s="440"/>
      <c r="F200" s="440"/>
      <c r="G200" s="440"/>
      <c r="K200" s="443"/>
    </row>
    <row r="201" spans="1:11" ht="15" hidden="1" x14ac:dyDescent="0.2">
      <c r="A201" s="357"/>
      <c r="B201" s="478"/>
      <c r="C201" s="574"/>
      <c r="D201" s="575"/>
      <c r="E201" s="575"/>
      <c r="F201" s="576"/>
      <c r="G201" s="845"/>
    </row>
    <row r="202" spans="1:11" ht="27" hidden="1" customHeight="1" x14ac:dyDescent="0.2">
      <c r="A202" s="357">
        <v>65</v>
      </c>
      <c r="B202" s="1403" t="s">
        <v>260</v>
      </c>
      <c r="C202" s="1403"/>
      <c r="D202" s="1403"/>
      <c r="E202" s="1403"/>
      <c r="F202" s="1404"/>
      <c r="G202" s="577"/>
      <c r="K202" s="443"/>
    </row>
    <row r="203" spans="1:11" ht="4.5" hidden="1" customHeight="1" x14ac:dyDescent="0.2">
      <c r="A203" s="357"/>
      <c r="B203" s="440"/>
      <c r="C203" s="440"/>
      <c r="D203" s="440"/>
      <c r="E203" s="440"/>
      <c r="F203" s="440"/>
      <c r="G203" s="440"/>
      <c r="K203" s="443"/>
    </row>
    <row r="204" spans="1:11" ht="15" hidden="1" x14ac:dyDescent="0.2">
      <c r="A204" s="357"/>
      <c r="B204" s="478"/>
      <c r="C204" s="574"/>
      <c r="D204" s="575"/>
      <c r="E204" s="575"/>
      <c r="F204" s="576"/>
      <c r="G204" s="845"/>
    </row>
    <row r="205" spans="1:11" ht="27" hidden="1" customHeight="1" x14ac:dyDescent="0.2">
      <c r="A205" s="357">
        <v>66</v>
      </c>
      <c r="B205" s="1403" t="s">
        <v>260</v>
      </c>
      <c r="C205" s="1403"/>
      <c r="D205" s="1403"/>
      <c r="E205" s="1403"/>
      <c r="F205" s="1404"/>
      <c r="G205" s="577"/>
      <c r="K205" s="443"/>
    </row>
    <row r="206" spans="1:11" ht="4.5" hidden="1" customHeight="1" x14ac:dyDescent="0.2">
      <c r="A206" s="357"/>
      <c r="B206" s="440"/>
      <c r="C206" s="440"/>
      <c r="D206" s="440"/>
      <c r="E206" s="440"/>
      <c r="F206" s="440"/>
      <c r="G206" s="440"/>
      <c r="K206" s="443"/>
    </row>
    <row r="207" spans="1:11" ht="15" hidden="1" x14ac:dyDescent="0.2">
      <c r="A207" s="357"/>
      <c r="B207" s="478"/>
      <c r="C207" s="574"/>
      <c r="D207" s="575"/>
      <c r="E207" s="575"/>
      <c r="F207" s="576"/>
      <c r="G207" s="845"/>
    </row>
    <row r="208" spans="1:11" ht="27" hidden="1" customHeight="1" x14ac:dyDescent="0.2">
      <c r="A208" s="357">
        <v>67</v>
      </c>
      <c r="B208" s="1403" t="s">
        <v>260</v>
      </c>
      <c r="C208" s="1403"/>
      <c r="D208" s="1403"/>
      <c r="E208" s="1403"/>
      <c r="F208" s="1404"/>
      <c r="G208" s="577"/>
      <c r="K208" s="443"/>
    </row>
    <row r="209" spans="1:11" ht="15" customHeight="1" x14ac:dyDescent="0.2">
      <c r="A209" s="357"/>
      <c r="B209" s="440"/>
      <c r="C209" s="440"/>
      <c r="D209" s="440"/>
      <c r="E209" s="440"/>
      <c r="F209" s="440"/>
      <c r="G209" s="607"/>
      <c r="K209" s="443"/>
    </row>
    <row r="210" spans="1:11" ht="33" customHeight="1" x14ac:dyDescent="0.2">
      <c r="A210" s="357"/>
      <c r="B210" s="1420" t="s">
        <v>596</v>
      </c>
      <c r="C210" s="1421"/>
      <c r="D210" s="1421"/>
      <c r="E210" s="1421"/>
      <c r="F210" s="1421"/>
      <c r="G210" s="1422"/>
    </row>
    <row r="211" spans="1:11" ht="41.25" customHeight="1" x14ac:dyDescent="0.2">
      <c r="A211" s="357"/>
      <c r="B211" s="1423"/>
      <c r="C211" s="1424"/>
      <c r="D211" s="1424"/>
      <c r="E211" s="1424"/>
      <c r="F211" s="1424"/>
      <c r="G211" s="1425"/>
      <c r="K211" s="443" t="str">
        <f>IF(LEN(B211)&gt;1500,"IL NUMERO MASSIMO DI CARATTERI CONSENTITO E' 1500","")</f>
        <v/>
      </c>
    </row>
    <row r="212" spans="1:11" ht="12.75" customHeight="1" x14ac:dyDescent="0.2">
      <c r="A212" s="357"/>
      <c r="B212" s="1426"/>
      <c r="C212" s="1427"/>
      <c r="D212" s="1427"/>
      <c r="E212" s="1427"/>
      <c r="F212" s="1427"/>
      <c r="G212" s="1428"/>
      <c r="K212" s="443"/>
    </row>
    <row r="213" spans="1:11" ht="12.75" customHeight="1" x14ac:dyDescent="0.2">
      <c r="A213" s="357"/>
      <c r="B213" s="1426"/>
      <c r="C213" s="1427"/>
      <c r="D213" s="1427"/>
      <c r="E213" s="1427"/>
      <c r="F213" s="1427"/>
      <c r="G213" s="1428"/>
    </row>
    <row r="214" spans="1:11" ht="12.75" customHeight="1" x14ac:dyDescent="0.2">
      <c r="A214" s="357"/>
      <c r="B214" s="1426"/>
      <c r="C214" s="1427"/>
      <c r="D214" s="1427"/>
      <c r="E214" s="1427"/>
      <c r="F214" s="1427"/>
      <c r="G214" s="1428"/>
    </row>
    <row r="215" spans="1:11" ht="12.75" customHeight="1" x14ac:dyDescent="0.2">
      <c r="A215" s="357"/>
      <c r="B215" s="1429"/>
      <c r="C215" s="1430"/>
      <c r="D215" s="1430"/>
      <c r="E215" s="1430"/>
      <c r="F215" s="1430"/>
      <c r="G215" s="1431"/>
    </row>
    <row r="216" spans="1:11" ht="38.25" customHeight="1" x14ac:dyDescent="0.25">
      <c r="B216" s="1419" t="s">
        <v>290</v>
      </c>
      <c r="C216" s="1419"/>
      <c r="D216" s="1419"/>
      <c r="E216" s="1419"/>
      <c r="F216" s="1419"/>
      <c r="G216" s="1419"/>
    </row>
    <row r="217" spans="1:11" ht="51" customHeight="1" x14ac:dyDescent="0.2">
      <c r="C217" s="498"/>
    </row>
    <row r="218" spans="1:11" ht="38.25" customHeight="1" x14ac:dyDescent="0.25">
      <c r="B218" s="1418" t="s">
        <v>365</v>
      </c>
      <c r="C218" s="1418"/>
      <c r="D218" s="1418"/>
      <c r="E218" s="1418"/>
      <c r="F218" s="1418"/>
      <c r="G218" s="1418"/>
    </row>
    <row r="219" spans="1:11" ht="51.75" customHeight="1" x14ac:dyDescent="0.2">
      <c r="C219" s="498"/>
    </row>
    <row r="220" spans="1:11" ht="18" customHeight="1" x14ac:dyDescent="0.2">
      <c r="C220" s="498"/>
    </row>
    <row r="221" spans="1:11" ht="53.7" customHeight="1" x14ac:dyDescent="0.25">
      <c r="B221" s="1417" t="s">
        <v>409</v>
      </c>
      <c r="C221" s="1417"/>
      <c r="D221" s="1417"/>
      <c r="E221" s="1417"/>
      <c r="F221" s="1417"/>
      <c r="G221" s="1417"/>
    </row>
    <row r="222" spans="1:11" s="874" customFormat="1" x14ac:dyDescent="0.2">
      <c r="A222" s="1388"/>
      <c r="B222" s="1389" t="s">
        <v>1083</v>
      </c>
      <c r="C222" s="1389">
        <f>IF(tFAM!D5="",IF(tFAM!D15="",IF(tFAM!D25="",IF(tFAM!D35="",0,1),1),1)*1,1)</f>
        <v>0</v>
      </c>
      <c r="D222" s="1390"/>
      <c r="E222" s="1389" t="s">
        <v>13</v>
      </c>
      <c r="F222" s="1389">
        <f>IF(COUNTIF('Squadratura 1'!J6:J25,"ERRORE")=0, 0,1)</f>
        <v>0</v>
      </c>
      <c r="G222" s="1390"/>
    </row>
    <row r="223" spans="1:11" s="874" customFormat="1" x14ac:dyDescent="0.2">
      <c r="A223" s="1388"/>
      <c r="B223" s="1389" t="s">
        <v>12</v>
      </c>
      <c r="C223" s="1389">
        <f>IF(('t1'!$K$26+'t1'!$L$26)&gt;0,1,0)</f>
        <v>0</v>
      </c>
      <c r="D223" s="1390"/>
      <c r="E223" s="1389" t="s">
        <v>15</v>
      </c>
      <c r="F223" s="1389">
        <f>IF(OR('Squadratura 2'!G27="ERRORE",'Squadratura 2'!L27="ERRORE"),1,0)</f>
        <v>0</v>
      </c>
      <c r="G223" s="1390"/>
    </row>
    <row r="224" spans="1:11" s="874" customFormat="1" x14ac:dyDescent="0.2">
      <c r="A224" s="1388"/>
      <c r="B224" s="1389" t="s">
        <v>1127</v>
      </c>
      <c r="C224" s="1389">
        <f>IF(('1E'!$S$10+'1E'!$T$10)&gt;0,1,0)</f>
        <v>0</v>
      </c>
      <c r="D224" s="1390"/>
      <c r="E224" s="1389" t="s">
        <v>17</v>
      </c>
      <c r="F224" s="1389">
        <f>IF(OR('Squadratura 3'!M28="ERRORE",'Squadratura 3'!N28="ERRORE",'Squadratura 3'!Y28="ERRORE",'Squadratura 3'!Z28="ERRORE"),1,0)</f>
        <v>0</v>
      </c>
      <c r="G224" s="1390"/>
    </row>
    <row r="225" spans="1:11" s="874" customFormat="1" x14ac:dyDescent="0.2">
      <c r="A225" s="1388"/>
      <c r="B225" s="1389" t="s">
        <v>14</v>
      </c>
      <c r="C225" s="1389">
        <f>IF(SUM('t2'!C19:J19)&gt;0,1,0)</f>
        <v>0</v>
      </c>
      <c r="D225" s="1390"/>
      <c r="E225" s="1389" t="s">
        <v>19</v>
      </c>
      <c r="F225" s="1389">
        <f>IF(COUNTIF('Squadratura 4'!I6:I25,"ERRORE")=0,0,1)</f>
        <v>0</v>
      </c>
      <c r="G225" s="1390"/>
    </row>
    <row r="226" spans="1:11" s="874" customFormat="1" x14ac:dyDescent="0.2">
      <c r="A226" s="1388"/>
      <c r="B226" s="1389" t="s">
        <v>299</v>
      </c>
      <c r="C226" s="1389">
        <f>IF(t2A!$T$19&gt;0,1,0)</f>
        <v>0</v>
      </c>
      <c r="D226" s="1390"/>
      <c r="E226" s="1389" t="s">
        <v>1184</v>
      </c>
      <c r="F226" s="1389">
        <f>IF(AND('SICI(1)'!$G$2="OK",'SICI(2)'!$G$2="OK",'SICI(3)'!$G$2="OK",'SICI(4)'!$G$2="OK",'SICI(5)'!$G$2="OK"),0,1)</f>
        <v>0</v>
      </c>
      <c r="G226" s="1390"/>
    </row>
    <row r="227" spans="1:11" s="874" customFormat="1" x14ac:dyDescent="0.2">
      <c r="A227" s="1388"/>
      <c r="B227" s="1389" t="s">
        <v>16</v>
      </c>
      <c r="C227" s="1389">
        <f>IF(SUM('t3'!C26:P26)&gt;0,1,0)</f>
        <v>0</v>
      </c>
      <c r="D227" s="1390"/>
      <c r="E227" s="1389" t="s">
        <v>1185</v>
      </c>
      <c r="F227" s="1389">
        <f>IF('Squadratura 6'!$C$4="OK",0,1)</f>
        <v>0</v>
      </c>
      <c r="G227" s="1390"/>
      <c r="K227" s="875"/>
    </row>
    <row r="228" spans="1:11" s="874" customFormat="1" x14ac:dyDescent="0.2">
      <c r="A228" s="1388"/>
      <c r="B228" s="1389" t="s">
        <v>18</v>
      </c>
      <c r="C228" s="1389">
        <f>IF(($W$35)&gt;0,1,0)</f>
        <v>0</v>
      </c>
      <c r="D228" s="1390"/>
      <c r="E228" s="1389" t="s">
        <v>1186</v>
      </c>
      <c r="F228" s="1389">
        <f>IF(OR('t15(1)'!$H$23&lt;&gt;"OK",'t15(2)'!$H$23&lt;&gt;"OK",'t15(3)'!$H$23&lt;&gt;"OK",'t15(4)'!$H$23&lt;&gt;"OK",'t15(5)'!$H$21&lt;&gt;"OK"),1,0)</f>
        <v>0</v>
      </c>
      <c r="G228" s="1389"/>
      <c r="K228" s="875"/>
    </row>
    <row r="229" spans="1:11" s="874" customFormat="1" x14ac:dyDescent="0.2">
      <c r="A229" s="1388"/>
      <c r="B229" s="1389" t="s">
        <v>20</v>
      </c>
      <c r="C229" s="1389">
        <f>IF(('t5'!$U$27+'t5'!$V$27)&gt;0,1,0)</f>
        <v>0</v>
      </c>
      <c r="D229" s="1390"/>
      <c r="E229" s="1389" t="s">
        <v>1187</v>
      </c>
      <c r="F229" s="1389">
        <f>IF(OR('t15(1)'!H6&lt;&gt;"OK",'t15(2)'!H6&lt;&gt;"OK",'t15(3)'!H6&lt;&gt;"OK",'t15(4)'!H6&lt;&gt;"OK",'t15(5)'!H6&lt;&gt;"OK"),1,0)</f>
        <v>0</v>
      </c>
      <c r="G229" s="1390"/>
      <c r="K229" s="875"/>
    </row>
    <row r="230" spans="1:11" s="874" customFormat="1" x14ac:dyDescent="0.2">
      <c r="A230" s="1388"/>
      <c r="B230" s="1389" t="s">
        <v>21</v>
      </c>
      <c r="C230" s="1389">
        <f>IF(('t6'!$U$27+'t6'!$V$27)&gt;0,1,0)</f>
        <v>0</v>
      </c>
      <c r="D230" s="1390"/>
      <c r="E230" s="1389" t="s">
        <v>1188</v>
      </c>
      <c r="F230" s="1389">
        <f>IF('1E'!AQ10+'1E'!AR10='1E'!AT10+'1E'!AU10,0,1)</f>
        <v>0</v>
      </c>
      <c r="G230" s="1390"/>
      <c r="K230" s="875"/>
    </row>
    <row r="231" spans="1:11" s="874" customFormat="1" x14ac:dyDescent="0.2">
      <c r="A231" s="1388"/>
      <c r="B231" s="1389" t="s">
        <v>22</v>
      </c>
      <c r="C231" s="1389">
        <f>IF(('t7'!$W$26+'t7'!$X$26)&gt;0,1,0)</f>
        <v>0</v>
      </c>
      <c r="D231" s="1390"/>
      <c r="E231" s="1389" t="s">
        <v>23</v>
      </c>
      <c r="F231" s="1389">
        <f>IF(COUNTIF('Incongruenze 1 e 11'!D5:D7,"OK")=3,0,1)</f>
        <v>0</v>
      </c>
      <c r="G231" s="1390"/>
      <c r="K231" s="875"/>
    </row>
    <row r="232" spans="1:11" s="874" customFormat="1" x14ac:dyDescent="0.2">
      <c r="A232" s="1388"/>
      <c r="B232" s="1389" t="s">
        <v>24</v>
      </c>
      <c r="C232" s="1389">
        <f>IF(('t8'!$AA$26+'t8'!$AB$26)&gt;0,1,0)</f>
        <v>0</v>
      </c>
      <c r="D232" s="1390"/>
      <c r="E232" s="1389" t="s">
        <v>25</v>
      </c>
      <c r="F232" s="1389">
        <f>IF(COUNTIF('Incongruenza 2'!I6:I25,"ERRORE")=0,0,1)</f>
        <v>0</v>
      </c>
      <c r="G232" s="1390"/>
      <c r="K232" s="875"/>
    </row>
    <row r="233" spans="1:11" s="874" customFormat="1" x14ac:dyDescent="0.2">
      <c r="A233" s="1388"/>
      <c r="B233" s="1389" t="s">
        <v>26</v>
      </c>
      <c r="C233" s="1389">
        <f>IF(('t9'!$O$26+'t9'!$P$26)&gt;0,1,0)</f>
        <v>0</v>
      </c>
      <c r="D233" s="1390"/>
      <c r="E233" s="1389" t="s">
        <v>559</v>
      </c>
      <c r="F233" s="1389">
        <f ca="1">IF(AND('Incongruenza 3'!D5="OK",'Incongruenza 3'!E5="OK",'Incongruenza 3'!F5="OK",'Incongruenza 3'!G5="OK"),0,1)</f>
        <v>0</v>
      </c>
      <c r="G233" s="1390"/>
      <c r="K233" s="875"/>
    </row>
    <row r="234" spans="1:11" s="874" customFormat="1" x14ac:dyDescent="0.2">
      <c r="A234" s="1388"/>
      <c r="B234" s="1389" t="s">
        <v>28</v>
      </c>
      <c r="C234" s="1389">
        <f>IF(('t10'!$AU$26+'t10'!$AV$26)&gt;0,1,0)</f>
        <v>0</v>
      </c>
      <c r="D234" s="1390"/>
      <c r="E234" s="1389" t="s">
        <v>27</v>
      </c>
      <c r="F234" s="1389">
        <f>IF(OR(AND('Incongruenza 4 e controlli t14'!F21=" ",'Incongruenza 4 e controlli t14'!F23=" "),AND('Incongruenza 4 e controlli t14'!F21="OK",'Incongruenza 4 e controlli t14'!F23="OK"),AND('Incongruenza 4 e controlli t14'!F23="E' stata dichiarata IRAP Commerciale")),0,1)</f>
        <v>0</v>
      </c>
      <c r="G234" s="1390"/>
      <c r="K234" s="875"/>
    </row>
    <row r="235" spans="1:11" s="874" customFormat="1" x14ac:dyDescent="0.2">
      <c r="A235" s="1388"/>
      <c r="B235" s="1389" t="s">
        <v>30</v>
      </c>
      <c r="C235" s="1389">
        <f>IF(('t11'!$W$28+'t11'!$X$28)&gt;0,1,0)</f>
        <v>0</v>
      </c>
      <c r="D235" s="1390"/>
      <c r="E235" s="1389" t="s">
        <v>29</v>
      </c>
      <c r="F235" s="1389">
        <f>IF(COUNTIF('Incongruenza 5'!G6:G25,"ERRORE")=0,0,1)</f>
        <v>0</v>
      </c>
      <c r="G235" s="1390"/>
    </row>
    <row r="236" spans="1:11" s="874" customFormat="1" x14ac:dyDescent="0.2">
      <c r="A236" s="1388"/>
      <c r="B236" s="1389" t="s">
        <v>32</v>
      </c>
      <c r="C236" s="1389">
        <f>IF(('t12'!$K$26+'t12'!$C$26)&gt;0,1,0)</f>
        <v>0</v>
      </c>
      <c r="D236" s="1390"/>
      <c r="E236" s="1389" t="s">
        <v>31</v>
      </c>
      <c r="F236" s="1389">
        <f>IF(COUNTIF('Incongruenza 6'!E6:E25,"ERRORE")=0,0,1)</f>
        <v>0</v>
      </c>
      <c r="G236" s="1390"/>
    </row>
    <row r="237" spans="1:11" s="874" customFormat="1" x14ac:dyDescent="0.2">
      <c r="A237" s="1388"/>
      <c r="B237" s="1389" t="s">
        <v>34</v>
      </c>
      <c r="C237" s="1389">
        <f>IF(('t13'!$V$26)&gt;0,1,0)</f>
        <v>0</v>
      </c>
      <c r="D237" s="1390"/>
      <c r="E237" s="1389" t="s">
        <v>33</v>
      </c>
      <c r="F237" s="1389">
        <f>IF(COUNTIF('Incongruenza 7'!I6:I25,"ERRORE")=0,0,1)</f>
        <v>0</v>
      </c>
      <c r="G237" s="1390"/>
    </row>
    <row r="238" spans="1:11" s="874" customFormat="1" x14ac:dyDescent="0.2">
      <c r="A238" s="1388"/>
      <c r="B238" s="1389" t="s">
        <v>35</v>
      </c>
      <c r="C238" s="1389">
        <f>IF(('Incongruenza 4 e controlli t14'!$C$31)&gt;0,1,0)</f>
        <v>0</v>
      </c>
      <c r="D238" s="1390"/>
      <c r="E238" s="1389" t="s">
        <v>383</v>
      </c>
      <c r="F238" s="1389">
        <f>IF(COUNTIF('Incongruenza 8'!J6:J25,"ERRORE")=0,0,1)</f>
        <v>0</v>
      </c>
      <c r="G238" s="1390"/>
    </row>
    <row r="239" spans="1:11" s="874" customFormat="1" x14ac:dyDescent="0.2">
      <c r="A239" s="1388"/>
      <c r="B239" s="1389" t="s">
        <v>36</v>
      </c>
      <c r="C239" s="1389">
        <f>IF(('t15(1)'!$C$40+'t15(1)'!$G$40+'t15(2)'!$C$43+'t15(2)'!$G$43+'t15(3)'!$C$42+'t15(3)'!$G$42+'t15(4)'!$C$44+'t15(4)'!$G$44+'t15(5)'!$C$52+'t15(5)'!$G$52)&gt;0,1,0)</f>
        <v>0</v>
      </c>
      <c r="D239" s="1390"/>
      <c r="E239" s="1389" t="s">
        <v>593</v>
      </c>
      <c r="F239" s="1389">
        <f>IF(OR('t15(1)'!H13&lt;&gt;"OK",'t15(2)'!H13&lt;&gt;"OK",'t15(3)'!H13&lt;&gt;"OK",'t15(4)'!H13&lt;&gt;"OK",'t15(5)'!H13&lt;&gt;"OK"),1,0)</f>
        <v>0</v>
      </c>
      <c r="G239" s="1390"/>
    </row>
    <row r="240" spans="1:11" s="874" customFormat="1" x14ac:dyDescent="0.2">
      <c r="A240" s="1388"/>
      <c r="B240" s="1389" t="s">
        <v>723</v>
      </c>
      <c r="C240" s="1389">
        <f>IF(('SICI(1)'!N8+'SICI(2)'!N8+'SICI(3)'!N8+'SICI(4)'!N8)+'SICI(5)'!N8&gt;0,1,0)</f>
        <v>0</v>
      </c>
      <c r="D240" s="1390"/>
      <c r="E240" s="1389" t="s">
        <v>604</v>
      </c>
      <c r="F240" s="1389">
        <f>IF(COUNTIF('Incongruenza 10'!K13:L13,"OK")=2,0,1)</f>
        <v>0</v>
      </c>
      <c r="G240" s="1390"/>
    </row>
    <row r="241" spans="1:7" s="874" customFormat="1" x14ac:dyDescent="0.2">
      <c r="A241" s="1388"/>
      <c r="B241" s="1389" t="s">
        <v>558</v>
      </c>
      <c r="C241" s="1389">
        <f>IF(('Tabella Riconciliazione'!$F$32)&gt;0,1,0)</f>
        <v>0</v>
      </c>
      <c r="D241" s="1390"/>
      <c r="E241" s="1389" t="s">
        <v>640</v>
      </c>
      <c r="F241" s="1389">
        <f>IF(COUNTIF('Incongruenze 1 e 11'!D13:D20,"OK")=6,0,1)</f>
        <v>0</v>
      </c>
      <c r="G241" s="1390"/>
    </row>
    <row r="242" spans="1:7" s="874" customFormat="1" x14ac:dyDescent="0.2">
      <c r="A242" s="1388"/>
      <c r="B242" s="1390"/>
      <c r="C242" s="1390"/>
      <c r="D242" s="1390"/>
      <c r="E242" s="1389" t="s">
        <v>641</v>
      </c>
      <c r="F242" s="1389">
        <f>IF(COUNTIF('Incongruenze 12 e 13'!D13:D14,"OK")=2,0,1)</f>
        <v>0</v>
      </c>
      <c r="G242" s="1390"/>
    </row>
    <row r="243" spans="1:7" s="874" customFormat="1" x14ac:dyDescent="0.2">
      <c r="A243" s="1388"/>
      <c r="B243" s="1390"/>
      <c r="C243" s="1390"/>
      <c r="D243" s="1390"/>
      <c r="E243" s="1389" t="s">
        <v>642</v>
      </c>
      <c r="F243" s="1389">
        <f>IF(COUNTIF('Incongruenze 12 e 13'!D20,"OK")=1,0,1)</f>
        <v>0</v>
      </c>
      <c r="G243" s="1390"/>
    </row>
    <row r="244" spans="1:7" s="874" customFormat="1" x14ac:dyDescent="0.2">
      <c r="A244" s="1388"/>
      <c r="B244" s="1390"/>
      <c r="C244" s="1390"/>
      <c r="D244" s="1390"/>
      <c r="E244" s="1389" t="s">
        <v>643</v>
      </c>
      <c r="F244" s="1389">
        <f>IF(COUNTIF('Incongruenza 14'!G6:G40,"ERRORE")=0,0,1)</f>
        <v>0</v>
      </c>
      <c r="G244" s="1390"/>
    </row>
    <row r="245" spans="1:7" s="874" customFormat="1" x14ac:dyDescent="0.2">
      <c r="A245" s="1388"/>
      <c r="B245" s="1390"/>
      <c r="C245" s="1390"/>
      <c r="D245" s="1390"/>
      <c r="E245" s="1389" t="s">
        <v>644</v>
      </c>
      <c r="F245" s="1389">
        <f>IF(AND('Incongruenza 15'!$D$5="OK",'Incongruenza 15'!$E$5="OK",'Incongruenza 15'!$F$5="OK",'Incongruenza 15'!$G$5="OK",'Incongruenza 15'!$H$5="OK"),0,1)</f>
        <v>0</v>
      </c>
      <c r="G245" s="1390"/>
    </row>
    <row r="246" spans="1:7" s="874" customFormat="1" x14ac:dyDescent="0.2">
      <c r="A246" s="1388"/>
      <c r="B246" s="1390"/>
      <c r="C246" s="1390"/>
      <c r="D246" s="1390"/>
      <c r="E246" s="1389" t="s">
        <v>645</v>
      </c>
      <c r="F246" s="1389">
        <f>IF(OR('SICI(1)'!G5&lt;&gt;"OK",'SICI(2)'!G5&lt;&gt;"OK",'SICI(3)'!G5&lt;&gt;"OK",'SICI(4)'!G5&lt;&gt;"OK",'SICI(5)'!G5&lt;&gt;"OK"),1,0)</f>
        <v>0</v>
      </c>
      <c r="G246" s="1390"/>
    </row>
    <row r="247" spans="1:7" x14ac:dyDescent="0.2">
      <c r="A247" s="1388"/>
      <c r="B247" s="1390"/>
      <c r="C247" s="1390"/>
      <c r="D247" s="1390"/>
      <c r="E247" s="1389" t="s">
        <v>844</v>
      </c>
      <c r="F247" s="1389">
        <f>IF(('t12'!$AL$5)&gt;0,1,0)</f>
        <v>0</v>
      </c>
      <c r="G247" s="1390"/>
    </row>
    <row r="248" spans="1:7" x14ac:dyDescent="0.2">
      <c r="A248" s="1388"/>
      <c r="B248" s="1390"/>
      <c r="C248" s="1390"/>
      <c r="D248" s="1390"/>
      <c r="E248" s="1390"/>
      <c r="F248" s="1390"/>
      <c r="G248" s="1390"/>
    </row>
    <row r="249" spans="1:7" x14ac:dyDescent="0.2">
      <c r="A249" s="1388"/>
      <c r="B249" s="1390"/>
      <c r="C249" s="1390"/>
      <c r="D249" s="1390"/>
      <c r="E249" s="1390"/>
      <c r="F249" s="1390"/>
      <c r="G249" s="1390"/>
    </row>
    <row r="250" spans="1:7" x14ac:dyDescent="0.2">
      <c r="A250" s="1387"/>
      <c r="B250" s="908"/>
      <c r="C250" s="908"/>
      <c r="D250" s="908"/>
      <c r="E250" s="908"/>
      <c r="F250" s="908"/>
      <c r="G250" s="908"/>
    </row>
    <row r="251" spans="1:7" x14ac:dyDescent="0.2">
      <c r="A251" s="1387"/>
      <c r="B251" s="908"/>
      <c r="C251" s="908"/>
      <c r="D251" s="908"/>
      <c r="E251" s="908"/>
      <c r="F251" s="908"/>
      <c r="G251" s="908"/>
    </row>
    <row r="252" spans="1:7" x14ac:dyDescent="0.2">
      <c r="A252" s="1387"/>
      <c r="B252" s="908"/>
      <c r="C252" s="908"/>
      <c r="D252" s="908"/>
      <c r="E252" s="908"/>
      <c r="F252" s="908"/>
      <c r="G252" s="908"/>
    </row>
    <row r="253" spans="1:7" x14ac:dyDescent="0.2">
      <c r="A253" s="1387"/>
      <c r="B253" s="908"/>
      <c r="C253" s="908"/>
      <c r="D253" s="908"/>
      <c r="E253" s="908"/>
      <c r="F253" s="908"/>
      <c r="G253" s="908"/>
    </row>
    <row r="254" spans="1:7" x14ac:dyDescent="0.2">
      <c r="A254" s="1387"/>
      <c r="B254" s="908"/>
      <c r="C254" s="908"/>
      <c r="D254" s="908"/>
      <c r="E254" s="908"/>
      <c r="F254" s="908"/>
      <c r="G254" s="908"/>
    </row>
    <row r="255" spans="1:7" x14ac:dyDescent="0.2">
      <c r="A255" s="874"/>
      <c r="B255" s="900"/>
      <c r="C255" s="900"/>
      <c r="D255" s="900"/>
      <c r="E255" s="900"/>
      <c r="F255" s="900"/>
      <c r="G255" s="900"/>
    </row>
    <row r="256" spans="1:7" x14ac:dyDescent="0.2">
      <c r="A256" s="874"/>
      <c r="B256" s="900"/>
      <c r="C256" s="900"/>
      <c r="D256" s="607"/>
      <c r="E256" s="900"/>
      <c r="F256" s="900"/>
      <c r="G256" s="900"/>
    </row>
    <row r="257" spans="2:7" x14ac:dyDescent="0.2">
      <c r="B257" s="607"/>
      <c r="C257" s="607"/>
      <c r="D257" s="607"/>
      <c r="E257" s="908"/>
      <c r="F257" s="908"/>
      <c r="G257" s="607"/>
    </row>
    <row r="258" spans="2:7" x14ac:dyDescent="0.2">
      <c r="B258" s="607"/>
      <c r="C258" s="607"/>
      <c r="D258" s="607"/>
      <c r="E258" s="607"/>
      <c r="F258" s="607"/>
      <c r="G258" s="607"/>
    </row>
    <row r="259" spans="2:7" x14ac:dyDescent="0.2">
      <c r="B259" s="607"/>
      <c r="C259" s="607"/>
      <c r="D259" s="607"/>
      <c r="E259" s="607"/>
      <c r="F259" s="607"/>
      <c r="G259" s="607"/>
    </row>
    <row r="260" spans="2:7" x14ac:dyDescent="0.2">
      <c r="B260" s="607"/>
      <c r="C260" s="607"/>
      <c r="D260" s="607"/>
      <c r="E260" s="607"/>
      <c r="F260" s="607"/>
      <c r="G260" s="607"/>
    </row>
    <row r="261" spans="2:7" x14ac:dyDescent="0.2">
      <c r="B261" s="607"/>
      <c r="C261" s="607"/>
      <c r="D261" s="607"/>
      <c r="E261" s="607"/>
      <c r="F261" s="607"/>
      <c r="G261" s="607"/>
    </row>
    <row r="262" spans="2:7" x14ac:dyDescent="0.2">
      <c r="B262" s="607"/>
      <c r="C262" s="607"/>
      <c r="D262" s="607"/>
      <c r="E262" s="607"/>
      <c r="F262" s="607"/>
      <c r="G262" s="607"/>
    </row>
    <row r="263" spans="2:7" x14ac:dyDescent="0.2">
      <c r="B263" s="607"/>
      <c r="C263" s="607"/>
      <c r="D263" s="607"/>
      <c r="E263" s="607"/>
      <c r="F263" s="607"/>
      <c r="G263" s="607"/>
    </row>
    <row r="264" spans="2:7" x14ac:dyDescent="0.2">
      <c r="B264" s="607"/>
      <c r="C264" s="607"/>
      <c r="D264" s="607"/>
      <c r="E264" s="607"/>
      <c r="F264" s="607"/>
      <c r="G264" s="607"/>
    </row>
    <row r="265" spans="2:7" x14ac:dyDescent="0.2">
      <c r="B265" s="607"/>
      <c r="C265" s="607"/>
      <c r="D265" s="607"/>
      <c r="E265" s="607"/>
      <c r="F265" s="607"/>
      <c r="G265" s="607"/>
    </row>
    <row r="266" spans="2:7" x14ac:dyDescent="0.2">
      <c r="B266" s="607"/>
      <c r="C266" s="607"/>
      <c r="D266" s="607"/>
      <c r="E266" s="607"/>
      <c r="F266" s="607"/>
      <c r="G266" s="607"/>
    </row>
    <row r="267" spans="2:7" x14ac:dyDescent="0.2">
      <c r="B267" s="607"/>
      <c r="C267" s="607"/>
      <c r="D267" s="607"/>
      <c r="E267" s="607"/>
      <c r="F267" s="607"/>
      <c r="G267" s="607"/>
    </row>
    <row r="268" spans="2:7" x14ac:dyDescent="0.2">
      <c r="B268" s="607"/>
      <c r="C268" s="607"/>
      <c r="D268" s="607"/>
      <c r="E268" s="607"/>
      <c r="F268" s="607"/>
      <c r="G268" s="607"/>
    </row>
    <row r="269" spans="2:7" x14ac:dyDescent="0.2">
      <c r="B269" s="607"/>
      <c r="C269" s="607"/>
      <c r="D269" s="607"/>
      <c r="E269" s="607"/>
      <c r="F269" s="607"/>
      <c r="G269" s="607"/>
    </row>
    <row r="270" spans="2:7" x14ac:dyDescent="0.2">
      <c r="B270" s="607"/>
      <c r="C270" s="607"/>
      <c r="D270" s="607"/>
      <c r="E270" s="607"/>
      <c r="F270" s="607"/>
      <c r="G270" s="607"/>
    </row>
    <row r="271" spans="2:7" x14ac:dyDescent="0.2">
      <c r="B271" s="607"/>
      <c r="C271" s="607"/>
      <c r="D271" s="607"/>
      <c r="E271" s="607"/>
      <c r="F271" s="607"/>
      <c r="G271" s="607"/>
    </row>
    <row r="272" spans="2:7" x14ac:dyDescent="0.2">
      <c r="B272" s="607"/>
      <c r="C272" s="607"/>
      <c r="D272" s="607"/>
      <c r="E272" s="607"/>
      <c r="F272" s="607"/>
      <c r="G272" s="607"/>
    </row>
    <row r="273" spans="2:7" x14ac:dyDescent="0.2">
      <c r="B273" s="607"/>
      <c r="C273" s="607"/>
      <c r="D273" s="607"/>
      <c r="E273" s="607"/>
      <c r="F273" s="607"/>
      <c r="G273" s="607"/>
    </row>
    <row r="274" spans="2:7" x14ac:dyDescent="0.2">
      <c r="B274" s="607"/>
      <c r="C274" s="607"/>
      <c r="D274" s="607"/>
      <c r="E274" s="607"/>
      <c r="F274" s="607"/>
      <c r="G274" s="607"/>
    </row>
    <row r="275" spans="2:7" x14ac:dyDescent="0.2">
      <c r="B275" s="607"/>
      <c r="C275" s="607"/>
      <c r="D275" s="607"/>
      <c r="E275" s="607"/>
      <c r="F275" s="607"/>
      <c r="G275" s="607"/>
    </row>
    <row r="276" spans="2:7" x14ac:dyDescent="0.2">
      <c r="B276" s="607"/>
      <c r="C276" s="607"/>
      <c r="D276" s="607"/>
      <c r="E276" s="607"/>
      <c r="F276" s="607"/>
      <c r="G276" s="607"/>
    </row>
    <row r="277" spans="2:7" x14ac:dyDescent="0.2">
      <c r="B277" s="607"/>
      <c r="C277" s="607"/>
      <c r="D277" s="607"/>
      <c r="E277" s="607"/>
      <c r="F277" s="607"/>
      <c r="G277" s="607"/>
    </row>
    <row r="278" spans="2:7" x14ac:dyDescent="0.2">
      <c r="B278" s="607"/>
      <c r="C278" s="607"/>
      <c r="D278" s="607"/>
      <c r="E278" s="607"/>
      <c r="F278" s="607"/>
      <c r="G278" s="607"/>
    </row>
    <row r="279" spans="2:7" x14ac:dyDescent="0.2">
      <c r="B279" s="607"/>
      <c r="C279" s="607"/>
      <c r="D279" s="607"/>
      <c r="E279" s="607"/>
      <c r="F279" s="607"/>
      <c r="G279" s="607"/>
    </row>
    <row r="280" spans="2:7" x14ac:dyDescent="0.2">
      <c r="B280" s="607"/>
      <c r="C280" s="607"/>
      <c r="D280" s="607"/>
      <c r="E280" s="607"/>
      <c r="F280" s="607"/>
      <c r="G280" s="607"/>
    </row>
    <row r="281" spans="2:7" x14ac:dyDescent="0.2">
      <c r="B281" s="607"/>
      <c r="C281" s="607"/>
      <c r="D281" s="607"/>
      <c r="E281" s="607"/>
      <c r="F281" s="607"/>
      <c r="G281" s="607"/>
    </row>
    <row r="282" spans="2:7" x14ac:dyDescent="0.2">
      <c r="B282" s="607"/>
      <c r="C282" s="607"/>
      <c r="D282" s="607"/>
      <c r="E282" s="607"/>
      <c r="F282" s="607"/>
      <c r="G282" s="607"/>
    </row>
    <row r="283" spans="2:7" x14ac:dyDescent="0.2">
      <c r="B283" s="607"/>
      <c r="C283" s="607"/>
      <c r="D283" s="607"/>
      <c r="E283" s="607"/>
      <c r="F283" s="607"/>
      <c r="G283" s="607"/>
    </row>
    <row r="284" spans="2:7" x14ac:dyDescent="0.2">
      <c r="B284" s="607"/>
      <c r="C284" s="607"/>
      <c r="D284" s="607"/>
      <c r="E284" s="607"/>
      <c r="F284" s="607"/>
      <c r="G284" s="607"/>
    </row>
    <row r="285" spans="2:7" x14ac:dyDescent="0.2">
      <c r="B285" s="607"/>
      <c r="C285" s="607"/>
      <c r="D285" s="607"/>
      <c r="E285" s="607"/>
      <c r="F285" s="607"/>
      <c r="G285" s="607"/>
    </row>
    <row r="286" spans="2:7" x14ac:dyDescent="0.2">
      <c r="B286" s="607"/>
      <c r="C286" s="607"/>
      <c r="D286" s="607"/>
      <c r="E286" s="607"/>
      <c r="F286" s="607"/>
      <c r="G286" s="607"/>
    </row>
    <row r="287" spans="2:7" x14ac:dyDescent="0.2">
      <c r="B287" s="607"/>
      <c r="C287" s="607"/>
      <c r="D287" s="607"/>
      <c r="E287" s="607"/>
      <c r="F287" s="607"/>
      <c r="G287" s="607"/>
    </row>
    <row r="288" spans="2:7" x14ac:dyDescent="0.2">
      <c r="B288" s="607"/>
      <c r="C288" s="607"/>
      <c r="D288" s="607"/>
      <c r="E288" s="607"/>
      <c r="F288" s="607"/>
      <c r="G288" s="607"/>
    </row>
    <row r="289" spans="2:7" x14ac:dyDescent="0.2">
      <c r="B289" s="607"/>
      <c r="C289" s="607"/>
      <c r="D289" s="607"/>
      <c r="E289" s="607"/>
      <c r="F289" s="607"/>
      <c r="G289" s="607"/>
    </row>
    <row r="290" spans="2:7" x14ac:dyDescent="0.2">
      <c r="B290" s="607"/>
      <c r="C290" s="607"/>
      <c r="D290" s="607"/>
      <c r="E290" s="607"/>
      <c r="F290" s="607"/>
      <c r="G290" s="607"/>
    </row>
    <row r="291" spans="2:7" x14ac:dyDescent="0.2">
      <c r="B291" s="607"/>
      <c r="C291" s="607"/>
      <c r="D291" s="607"/>
      <c r="E291" s="607"/>
      <c r="F291" s="607"/>
      <c r="G291" s="607"/>
    </row>
    <row r="292" spans="2:7" x14ac:dyDescent="0.2">
      <c r="B292" s="607"/>
      <c r="C292" s="607"/>
      <c r="D292" s="607"/>
      <c r="E292" s="607"/>
      <c r="F292" s="607"/>
      <c r="G292" s="607"/>
    </row>
    <row r="293" spans="2:7" x14ac:dyDescent="0.2">
      <c r="B293" s="607"/>
      <c r="C293" s="607"/>
      <c r="D293" s="607"/>
      <c r="E293" s="607"/>
      <c r="F293" s="607"/>
      <c r="G293" s="607"/>
    </row>
    <row r="294" spans="2:7" x14ac:dyDescent="0.2">
      <c r="B294" s="607"/>
      <c r="C294" s="607"/>
      <c r="D294" s="607"/>
      <c r="E294" s="607"/>
      <c r="F294" s="607"/>
      <c r="G294" s="607"/>
    </row>
    <row r="295" spans="2:7" x14ac:dyDescent="0.2">
      <c r="B295" s="607"/>
      <c r="C295" s="607"/>
      <c r="D295" s="607"/>
      <c r="E295" s="607"/>
      <c r="F295" s="607"/>
      <c r="G295" s="607"/>
    </row>
    <row r="296" spans="2:7" x14ac:dyDescent="0.2">
      <c r="B296" s="607"/>
      <c r="C296" s="607"/>
      <c r="D296" s="607"/>
      <c r="E296" s="607"/>
      <c r="F296" s="607"/>
      <c r="G296" s="607"/>
    </row>
    <row r="297" spans="2:7" x14ac:dyDescent="0.2">
      <c r="B297" s="607"/>
      <c r="C297" s="607"/>
      <c r="D297" s="607"/>
      <c r="E297" s="607"/>
      <c r="F297" s="607"/>
      <c r="G297" s="607"/>
    </row>
    <row r="298" spans="2:7" x14ac:dyDescent="0.2">
      <c r="B298" s="607"/>
      <c r="C298" s="607"/>
      <c r="D298" s="607"/>
      <c r="E298" s="607"/>
      <c r="F298" s="607"/>
      <c r="G298" s="607"/>
    </row>
    <row r="299" spans="2:7" x14ac:dyDescent="0.2">
      <c r="B299" s="607"/>
      <c r="C299" s="607"/>
      <c r="D299" s="607"/>
      <c r="E299" s="607"/>
      <c r="F299" s="607"/>
      <c r="G299" s="607"/>
    </row>
    <row r="300" spans="2:7" x14ac:dyDescent="0.2">
      <c r="B300" s="607"/>
      <c r="C300" s="607"/>
      <c r="D300" s="607"/>
      <c r="E300" s="607"/>
      <c r="F300" s="607"/>
      <c r="G300" s="607"/>
    </row>
    <row r="301" spans="2:7" x14ac:dyDescent="0.2">
      <c r="B301" s="607"/>
      <c r="C301" s="607"/>
      <c r="D301" s="607"/>
      <c r="E301" s="607"/>
      <c r="F301" s="607"/>
      <c r="G301" s="607"/>
    </row>
    <row r="302" spans="2:7" x14ac:dyDescent="0.2">
      <c r="B302" s="607"/>
      <c r="C302" s="607"/>
      <c r="D302" s="607"/>
      <c r="E302" s="607"/>
      <c r="F302" s="607"/>
      <c r="G302" s="607"/>
    </row>
    <row r="303" spans="2:7" x14ac:dyDescent="0.2">
      <c r="B303" s="607"/>
      <c r="C303" s="607"/>
      <c r="D303" s="607"/>
      <c r="E303" s="607"/>
      <c r="F303" s="607"/>
      <c r="G303" s="607"/>
    </row>
    <row r="304" spans="2:7" x14ac:dyDescent="0.2">
      <c r="B304" s="607"/>
      <c r="C304" s="607"/>
      <c r="D304" s="607"/>
      <c r="E304" s="607"/>
      <c r="F304" s="607"/>
      <c r="G304" s="607"/>
    </row>
    <row r="305" spans="2:7" x14ac:dyDescent="0.2">
      <c r="B305" s="607"/>
      <c r="C305" s="607"/>
      <c r="D305" s="607"/>
      <c r="E305" s="607"/>
      <c r="F305" s="607"/>
      <c r="G305" s="607"/>
    </row>
    <row r="306" spans="2:7" x14ac:dyDescent="0.2">
      <c r="B306" s="607"/>
      <c r="C306" s="607"/>
      <c r="D306" s="607"/>
      <c r="E306" s="607"/>
      <c r="F306" s="607"/>
      <c r="G306" s="607"/>
    </row>
    <row r="307" spans="2:7" x14ac:dyDescent="0.2">
      <c r="B307" s="607"/>
      <c r="C307" s="607"/>
      <c r="D307" s="607"/>
      <c r="E307" s="607"/>
      <c r="F307" s="607"/>
      <c r="G307" s="607"/>
    </row>
    <row r="308" spans="2:7" x14ac:dyDescent="0.2">
      <c r="B308" s="607"/>
      <c r="C308" s="607"/>
      <c r="D308" s="607"/>
      <c r="E308" s="607"/>
      <c r="F308" s="607"/>
      <c r="G308" s="607"/>
    </row>
    <row r="309" spans="2:7" x14ac:dyDescent="0.2">
      <c r="B309" s="607"/>
      <c r="C309" s="607"/>
      <c r="D309" s="607"/>
      <c r="E309" s="607"/>
      <c r="F309" s="607"/>
      <c r="G309" s="607"/>
    </row>
    <row r="310" spans="2:7" x14ac:dyDescent="0.2">
      <c r="B310" s="607"/>
      <c r="C310" s="607"/>
      <c r="D310" s="607"/>
      <c r="E310" s="607"/>
      <c r="F310" s="607"/>
      <c r="G310" s="607"/>
    </row>
    <row r="311" spans="2:7" x14ac:dyDescent="0.2">
      <c r="B311" s="607"/>
      <c r="C311" s="607"/>
      <c r="D311" s="607"/>
      <c r="E311" s="607"/>
      <c r="F311" s="607"/>
      <c r="G311" s="607"/>
    </row>
    <row r="312" spans="2:7" x14ac:dyDescent="0.2">
      <c r="B312" s="607"/>
      <c r="C312" s="607"/>
      <c r="D312" s="607"/>
      <c r="E312" s="607"/>
      <c r="F312" s="607"/>
      <c r="G312" s="607"/>
    </row>
    <row r="313" spans="2:7" x14ac:dyDescent="0.2">
      <c r="B313" s="607"/>
      <c r="C313" s="607"/>
      <c r="D313" s="607"/>
      <c r="E313" s="607"/>
      <c r="F313" s="607"/>
      <c r="G313" s="607"/>
    </row>
    <row r="314" spans="2:7" x14ac:dyDescent="0.2">
      <c r="B314" s="607"/>
      <c r="C314" s="607"/>
      <c r="D314" s="607"/>
      <c r="E314" s="607"/>
      <c r="F314" s="607"/>
      <c r="G314" s="607"/>
    </row>
    <row r="315" spans="2:7" x14ac:dyDescent="0.2">
      <c r="B315" s="607"/>
      <c r="C315" s="607"/>
      <c r="D315" s="607"/>
      <c r="E315" s="607"/>
      <c r="F315" s="607"/>
      <c r="G315" s="607"/>
    </row>
    <row r="316" spans="2:7" x14ac:dyDescent="0.2">
      <c r="B316" s="607"/>
      <c r="C316" s="607"/>
      <c r="D316" s="607"/>
      <c r="E316" s="607"/>
      <c r="F316" s="607"/>
      <c r="G316" s="607"/>
    </row>
    <row r="317" spans="2:7" x14ac:dyDescent="0.2">
      <c r="B317" s="607"/>
      <c r="C317" s="607"/>
      <c r="D317" s="607"/>
      <c r="E317" s="607"/>
      <c r="F317" s="607"/>
      <c r="G317" s="607"/>
    </row>
    <row r="318" spans="2:7" x14ac:dyDescent="0.2">
      <c r="B318" s="607"/>
      <c r="C318" s="607"/>
      <c r="D318" s="607"/>
      <c r="E318" s="607"/>
      <c r="F318" s="607"/>
      <c r="G318" s="607"/>
    </row>
    <row r="319" spans="2:7" x14ac:dyDescent="0.2">
      <c r="B319" s="607"/>
      <c r="C319" s="607"/>
      <c r="D319" s="607"/>
      <c r="E319" s="607"/>
      <c r="F319" s="607"/>
      <c r="G319" s="607"/>
    </row>
    <row r="320" spans="2:7" x14ac:dyDescent="0.2">
      <c r="B320" s="607"/>
      <c r="C320" s="607"/>
      <c r="D320" s="607"/>
      <c r="E320" s="607"/>
      <c r="F320" s="607"/>
      <c r="G320" s="607"/>
    </row>
    <row r="321" spans="2:7" x14ac:dyDescent="0.2">
      <c r="B321" s="607"/>
      <c r="C321" s="607"/>
      <c r="D321" s="607"/>
      <c r="E321" s="607"/>
      <c r="F321" s="607"/>
      <c r="G321" s="607"/>
    </row>
    <row r="322" spans="2:7" x14ac:dyDescent="0.2">
      <c r="B322" s="607"/>
      <c r="C322" s="607"/>
      <c r="D322" s="607"/>
      <c r="E322" s="607"/>
      <c r="F322" s="607"/>
      <c r="G322" s="607"/>
    </row>
    <row r="323" spans="2:7" x14ac:dyDescent="0.2">
      <c r="B323" s="607"/>
      <c r="C323" s="607"/>
      <c r="D323" s="607"/>
      <c r="E323" s="607"/>
      <c r="F323" s="607"/>
      <c r="G323" s="607"/>
    </row>
    <row r="324" spans="2:7" x14ac:dyDescent="0.2">
      <c r="B324" s="607"/>
      <c r="C324" s="607"/>
      <c r="D324" s="607"/>
      <c r="E324" s="607"/>
      <c r="F324" s="607"/>
      <c r="G324" s="607"/>
    </row>
    <row r="325" spans="2:7" x14ac:dyDescent="0.2">
      <c r="B325" s="607"/>
      <c r="C325" s="607"/>
      <c r="D325" s="607"/>
      <c r="E325" s="607"/>
      <c r="F325" s="607"/>
      <c r="G325" s="607"/>
    </row>
    <row r="326" spans="2:7" x14ac:dyDescent="0.2">
      <c r="B326" s="607"/>
      <c r="C326" s="607"/>
      <c r="D326" s="607"/>
      <c r="E326" s="607"/>
      <c r="F326" s="607"/>
      <c r="G326" s="607"/>
    </row>
    <row r="327" spans="2:7" x14ac:dyDescent="0.2">
      <c r="B327" s="607"/>
      <c r="C327" s="607"/>
      <c r="D327" s="607"/>
      <c r="E327" s="607"/>
      <c r="F327" s="607"/>
      <c r="G327" s="607"/>
    </row>
    <row r="328" spans="2:7" x14ac:dyDescent="0.2">
      <c r="B328" s="607"/>
      <c r="C328" s="607"/>
      <c r="D328" s="607"/>
      <c r="E328" s="607"/>
      <c r="F328" s="607"/>
      <c r="G328" s="607"/>
    </row>
    <row r="329" spans="2:7" x14ac:dyDescent="0.2">
      <c r="B329" s="607"/>
      <c r="C329" s="607"/>
      <c r="D329" s="607"/>
      <c r="E329" s="607"/>
      <c r="F329" s="607"/>
      <c r="G329" s="607"/>
    </row>
    <row r="330" spans="2:7" x14ac:dyDescent="0.2">
      <c r="B330" s="607"/>
      <c r="C330" s="607"/>
      <c r="D330" s="607"/>
      <c r="E330" s="607"/>
      <c r="F330" s="607"/>
      <c r="G330" s="607"/>
    </row>
    <row r="331" spans="2:7" x14ac:dyDescent="0.2">
      <c r="B331" s="607"/>
      <c r="C331" s="607"/>
      <c r="D331" s="607"/>
      <c r="E331" s="607"/>
      <c r="F331" s="607"/>
      <c r="G331" s="607"/>
    </row>
    <row r="332" spans="2:7" x14ac:dyDescent="0.2">
      <c r="B332" s="607"/>
      <c r="C332" s="607"/>
      <c r="D332" s="607"/>
      <c r="E332" s="607"/>
      <c r="F332" s="607"/>
      <c r="G332" s="607"/>
    </row>
    <row r="333" spans="2:7" x14ac:dyDescent="0.2">
      <c r="B333" s="607"/>
      <c r="C333" s="607"/>
      <c r="D333" s="607"/>
      <c r="E333" s="607"/>
      <c r="F333" s="607"/>
      <c r="G333" s="607"/>
    </row>
    <row r="334" spans="2:7" x14ac:dyDescent="0.2">
      <c r="B334" s="607"/>
      <c r="C334" s="607"/>
      <c r="D334" s="607"/>
      <c r="E334" s="607"/>
      <c r="F334" s="607"/>
      <c r="G334" s="607"/>
    </row>
    <row r="335" spans="2:7" x14ac:dyDescent="0.2">
      <c r="B335" s="607"/>
      <c r="C335" s="607"/>
      <c r="D335" s="607"/>
      <c r="E335" s="607"/>
      <c r="F335" s="607"/>
      <c r="G335" s="607"/>
    </row>
    <row r="336" spans="2:7" x14ac:dyDescent="0.2">
      <c r="B336" s="607"/>
      <c r="C336" s="607"/>
      <c r="D336" s="607"/>
      <c r="E336" s="607"/>
      <c r="F336" s="607"/>
      <c r="G336" s="607"/>
    </row>
    <row r="337" spans="2:7" x14ac:dyDescent="0.2">
      <c r="B337" s="607"/>
      <c r="C337" s="607"/>
      <c r="D337" s="607"/>
      <c r="E337" s="607"/>
      <c r="F337" s="607"/>
      <c r="G337" s="607"/>
    </row>
    <row r="338" spans="2:7" x14ac:dyDescent="0.2">
      <c r="B338" s="607"/>
      <c r="C338" s="607"/>
      <c r="D338" s="607"/>
      <c r="E338" s="607"/>
      <c r="F338" s="607"/>
      <c r="G338" s="607"/>
    </row>
    <row r="339" spans="2:7" x14ac:dyDescent="0.2">
      <c r="B339" s="607"/>
      <c r="C339" s="607"/>
      <c r="D339" s="607"/>
      <c r="E339" s="607"/>
      <c r="F339" s="607"/>
      <c r="G339" s="607"/>
    </row>
    <row r="340" spans="2:7" x14ac:dyDescent="0.2">
      <c r="B340" s="607"/>
      <c r="C340" s="607"/>
      <c r="D340" s="355"/>
      <c r="E340" s="607"/>
      <c r="F340" s="607"/>
      <c r="G340" s="607"/>
    </row>
    <row r="341" spans="2:7" s="446" customFormat="1" x14ac:dyDescent="0.2">
      <c r="B341" s="355"/>
      <c r="C341" s="355"/>
      <c r="D341" s="355"/>
      <c r="E341" s="607"/>
      <c r="F341" s="607"/>
      <c r="G341" s="355"/>
    </row>
    <row r="342" spans="2:7" s="446" customFormat="1" x14ac:dyDescent="0.2">
      <c r="B342" s="355"/>
      <c r="C342" s="355"/>
      <c r="D342" s="355"/>
      <c r="E342" s="607"/>
      <c r="F342" s="607"/>
      <c r="G342" s="355"/>
    </row>
    <row r="343" spans="2:7" s="446" customFormat="1" x14ac:dyDescent="0.2">
      <c r="B343" s="355"/>
      <c r="C343" s="355"/>
      <c r="D343" s="355"/>
      <c r="E343" s="355"/>
      <c r="F343" s="355"/>
      <c r="G343" s="355"/>
    </row>
    <row r="344" spans="2:7" s="446" customFormat="1" x14ac:dyDescent="0.2">
      <c r="B344" s="355"/>
      <c r="C344" s="355"/>
      <c r="D344" s="355"/>
      <c r="E344" s="355"/>
      <c r="F344" s="355"/>
      <c r="G344" s="355"/>
    </row>
    <row r="345" spans="2:7" s="446" customFormat="1" x14ac:dyDescent="0.2">
      <c r="B345" s="355"/>
      <c r="C345" s="355"/>
      <c r="D345" s="355"/>
      <c r="E345" s="355"/>
      <c r="F345" s="355"/>
      <c r="G345" s="355"/>
    </row>
    <row r="346" spans="2:7" s="446" customFormat="1" x14ac:dyDescent="0.2">
      <c r="B346" s="355"/>
      <c r="C346" s="355"/>
      <c r="D346" s="355"/>
      <c r="E346" s="355"/>
      <c r="F346" s="355"/>
      <c r="G346" s="355"/>
    </row>
    <row r="347" spans="2:7" s="446" customFormat="1" x14ac:dyDescent="0.2">
      <c r="B347" s="355"/>
      <c r="C347" s="355"/>
      <c r="D347" s="355"/>
      <c r="E347" s="355"/>
      <c r="F347" s="355"/>
      <c r="G347" s="355"/>
    </row>
    <row r="348" spans="2:7" s="446" customFormat="1" x14ac:dyDescent="0.2">
      <c r="B348" s="355"/>
      <c r="C348" s="355"/>
      <c r="D348" s="355"/>
      <c r="E348" s="355"/>
      <c r="F348" s="355"/>
      <c r="G348" s="355"/>
    </row>
    <row r="349" spans="2:7" s="446" customFormat="1" x14ac:dyDescent="0.2">
      <c r="B349" s="355"/>
      <c r="C349" s="355"/>
      <c r="D349" s="355"/>
      <c r="E349" s="355"/>
      <c r="F349" s="355"/>
      <c r="G349" s="355"/>
    </row>
    <row r="350" spans="2:7" s="446" customFormat="1" x14ac:dyDescent="0.2">
      <c r="B350" s="355"/>
      <c r="C350" s="355"/>
      <c r="D350" s="355"/>
      <c r="E350" s="355"/>
      <c r="F350" s="355"/>
      <c r="G350" s="355"/>
    </row>
    <row r="351" spans="2:7" s="446" customFormat="1" x14ac:dyDescent="0.2">
      <c r="B351" s="355"/>
      <c r="C351" s="355"/>
      <c r="D351" s="355"/>
      <c r="E351" s="355"/>
      <c r="F351" s="355"/>
      <c r="G351" s="355"/>
    </row>
    <row r="352" spans="2:7" s="446" customFormat="1" x14ac:dyDescent="0.2">
      <c r="B352" s="355"/>
      <c r="C352" s="355"/>
      <c r="D352" s="355"/>
      <c r="E352" s="355"/>
      <c r="F352" s="355"/>
      <c r="G352" s="355"/>
    </row>
    <row r="353" spans="2:7" s="446" customFormat="1" x14ac:dyDescent="0.2">
      <c r="B353" s="355"/>
      <c r="C353" s="355"/>
      <c r="D353" s="355"/>
      <c r="E353" s="355"/>
      <c r="F353" s="355"/>
      <c r="G353" s="355"/>
    </row>
    <row r="354" spans="2:7" s="446" customFormat="1" x14ac:dyDescent="0.2">
      <c r="B354" s="355"/>
      <c r="C354" s="355"/>
      <c r="D354" s="355"/>
      <c r="E354" s="355"/>
      <c r="F354" s="355"/>
      <c r="G354" s="355"/>
    </row>
    <row r="355" spans="2:7" s="446" customFormat="1" x14ac:dyDescent="0.2">
      <c r="B355" s="355"/>
      <c r="C355" s="355"/>
      <c r="D355" s="355"/>
      <c r="E355" s="355"/>
      <c r="F355" s="355"/>
      <c r="G355" s="355"/>
    </row>
    <row r="356" spans="2:7" s="446" customFormat="1" x14ac:dyDescent="0.2">
      <c r="B356" s="355"/>
      <c r="C356" s="355"/>
      <c r="D356" s="355"/>
      <c r="E356" s="355"/>
      <c r="F356" s="355"/>
      <c r="G356" s="355"/>
    </row>
    <row r="357" spans="2:7" s="446" customFormat="1" x14ac:dyDescent="0.2">
      <c r="B357" s="355"/>
      <c r="C357" s="355"/>
      <c r="D357" s="355"/>
      <c r="E357" s="355"/>
      <c r="F357" s="355"/>
      <c r="G357" s="355"/>
    </row>
    <row r="358" spans="2:7" s="446" customFormat="1" x14ac:dyDescent="0.2">
      <c r="B358" s="355"/>
      <c r="C358" s="355"/>
      <c r="D358" s="355"/>
      <c r="E358" s="355"/>
      <c r="F358" s="355"/>
      <c r="G358" s="355"/>
    </row>
    <row r="359" spans="2:7" s="446" customFormat="1" x14ac:dyDescent="0.2">
      <c r="B359" s="355"/>
      <c r="C359" s="355"/>
      <c r="D359" s="355"/>
      <c r="E359" s="355"/>
      <c r="F359" s="355"/>
      <c r="G359" s="355"/>
    </row>
    <row r="360" spans="2:7" s="446" customFormat="1" x14ac:dyDescent="0.2">
      <c r="B360" s="355"/>
      <c r="C360" s="355"/>
      <c r="D360" s="355"/>
      <c r="E360" s="355"/>
      <c r="F360" s="355"/>
      <c r="G360" s="355"/>
    </row>
    <row r="361" spans="2:7" s="446" customFormat="1" x14ac:dyDescent="0.2">
      <c r="B361" s="355"/>
      <c r="C361" s="355"/>
      <c r="D361" s="355"/>
      <c r="E361" s="355"/>
      <c r="F361" s="355"/>
      <c r="G361" s="355"/>
    </row>
    <row r="362" spans="2:7" s="446" customFormat="1" x14ac:dyDescent="0.2">
      <c r="B362" s="355"/>
      <c r="C362" s="355"/>
      <c r="D362" s="355"/>
      <c r="E362" s="355"/>
      <c r="F362" s="355"/>
      <c r="G362" s="355"/>
    </row>
    <row r="363" spans="2:7" s="446" customFormat="1" x14ac:dyDescent="0.2">
      <c r="B363" s="355"/>
      <c r="C363" s="355"/>
      <c r="D363" s="355"/>
      <c r="E363" s="355"/>
      <c r="F363" s="355"/>
      <c r="G363" s="355"/>
    </row>
    <row r="364" spans="2:7" s="446" customFormat="1" x14ac:dyDescent="0.2">
      <c r="B364" s="355"/>
      <c r="C364" s="355"/>
      <c r="D364" s="355"/>
      <c r="E364" s="355"/>
      <c r="F364" s="355"/>
      <c r="G364" s="355"/>
    </row>
    <row r="365" spans="2:7" s="446" customFormat="1" x14ac:dyDescent="0.2">
      <c r="B365" s="355"/>
      <c r="C365" s="355"/>
      <c r="D365" s="355"/>
      <c r="E365" s="355"/>
      <c r="F365" s="355"/>
      <c r="G365" s="355"/>
    </row>
    <row r="366" spans="2:7" s="446" customFormat="1" x14ac:dyDescent="0.2">
      <c r="B366" s="355"/>
      <c r="C366" s="355"/>
      <c r="D366" s="339"/>
      <c r="E366" s="355"/>
      <c r="F366" s="355"/>
      <c r="G366" s="355"/>
    </row>
    <row r="367" spans="2:7" x14ac:dyDescent="0.2">
      <c r="E367" s="355"/>
      <c r="F367" s="355"/>
    </row>
    <row r="368" spans="2:7" x14ac:dyDescent="0.2">
      <c r="E368" s="355"/>
      <c r="F368" s="355"/>
    </row>
  </sheetData>
  <sheetProtection algorithmName="SHA-512" hashValue="sdKEgx7nPio5UsX+s0VhRwCahaQSI8Q6gPkMEtsh5DjCl0fA2a+FI/B7Dpu30+ICkQ8PmKX04YMnmj94gqDVCg==" saltValue="xYGmb9KXwO5xjbQl4V2AUw==" spinCount="100000" sheet="1" formatColumns="0" selectLockedCells="1"/>
  <mergeCells count="90">
    <mergeCell ref="E11:G11"/>
    <mergeCell ref="B118:F118"/>
    <mergeCell ref="B36:G36"/>
    <mergeCell ref="E12:G12"/>
    <mergeCell ref="F23:G23"/>
    <mergeCell ref="D15:G15"/>
    <mergeCell ref="B94:F94"/>
    <mergeCell ref="B97:F97"/>
    <mergeCell ref="B100:F100"/>
    <mergeCell ref="B103:F103"/>
    <mergeCell ref="B19:C19"/>
    <mergeCell ref="B23:C23"/>
    <mergeCell ref="B16:G16"/>
    <mergeCell ref="D26:E26"/>
    <mergeCell ref="F25:G25"/>
    <mergeCell ref="F19:G19"/>
    <mergeCell ref="C2:F2"/>
    <mergeCell ref="E8:G8"/>
    <mergeCell ref="E9:G9"/>
    <mergeCell ref="E10:G10"/>
    <mergeCell ref="C3:F3"/>
    <mergeCell ref="B6:G6"/>
    <mergeCell ref="B221:G221"/>
    <mergeCell ref="B48:E48"/>
    <mergeCell ref="B41:G41"/>
    <mergeCell ref="B46:E46"/>
    <mergeCell ref="B50:E50"/>
    <mergeCell ref="B218:G218"/>
    <mergeCell ref="B216:G216"/>
    <mergeCell ref="B210:G210"/>
    <mergeCell ref="B211:G215"/>
    <mergeCell ref="B53:F53"/>
    <mergeCell ref="B56:F56"/>
    <mergeCell ref="B59:F59"/>
    <mergeCell ref="B62:F62"/>
    <mergeCell ref="B127:F127"/>
    <mergeCell ref="B130:F130"/>
    <mergeCell ref="B145:F145"/>
    <mergeCell ref="D24:E24"/>
    <mergeCell ref="D19:E19"/>
    <mergeCell ref="B88:F88"/>
    <mergeCell ref="B91:F91"/>
    <mergeCell ref="B39:C39"/>
    <mergeCell ref="F26:G26"/>
    <mergeCell ref="D25:E25"/>
    <mergeCell ref="B133:F133"/>
    <mergeCell ref="B136:F136"/>
    <mergeCell ref="B124:F124"/>
    <mergeCell ref="B121:F121"/>
    <mergeCell ref="B30:G30"/>
    <mergeCell ref="B82:F82"/>
    <mergeCell ref="B85:F85"/>
    <mergeCell ref="B44:E44"/>
    <mergeCell ref="B139:F139"/>
    <mergeCell ref="B142:F142"/>
    <mergeCell ref="B22:C22"/>
    <mergeCell ref="D22:E22"/>
    <mergeCell ref="B106:F106"/>
    <mergeCell ref="B109:F109"/>
    <mergeCell ref="B112:F112"/>
    <mergeCell ref="B115:F115"/>
    <mergeCell ref="F22:G22"/>
    <mergeCell ref="B33:C33"/>
    <mergeCell ref="B34:C34"/>
    <mergeCell ref="D23:E23"/>
    <mergeCell ref="F24:G24"/>
    <mergeCell ref="B25:C25"/>
    <mergeCell ref="B24:C24"/>
    <mergeCell ref="B26:C26"/>
    <mergeCell ref="B187:F187"/>
    <mergeCell ref="B166:F166"/>
    <mergeCell ref="B169:F169"/>
    <mergeCell ref="B148:F148"/>
    <mergeCell ref="B151:F151"/>
    <mergeCell ref="B154:F154"/>
    <mergeCell ref="B157:F157"/>
    <mergeCell ref="B160:F160"/>
    <mergeCell ref="B163:F163"/>
    <mergeCell ref="B172:F172"/>
    <mergeCell ref="B175:F175"/>
    <mergeCell ref="B178:F178"/>
    <mergeCell ref="B181:F181"/>
    <mergeCell ref="B184:F184"/>
    <mergeCell ref="B208:F208"/>
    <mergeCell ref="B190:F190"/>
    <mergeCell ref="B193:F193"/>
    <mergeCell ref="B196:F196"/>
    <mergeCell ref="B199:F199"/>
    <mergeCell ref="B202:F202"/>
    <mergeCell ref="B205:F205"/>
  </mergeCells>
  <phoneticPr fontId="0" type="noConversion"/>
  <dataValidations count="1">
    <dataValidation type="whole" allowBlank="1" showInputMessage="1" showErrorMessage="1" errorTitle="ATTENZIONE" error="INSERIRE SOLO VALORI NUMERICI INTERI" sqref="G118 G88 G121 G91 G94 G100 G59 G62 G53 G82 G97 G127 G56 G103 G106 G109 G154 G205 G124 G133 G130 G115 G136 G85 G139 G151 G145 G148 G175 G157 G160 G163 G166 G169 G208 G172 G178 G181 G184 G187 G190 G202 G112 G142 G193 G196 G199" xr:uid="{00000000-0002-0000-0000-000000000000}">
      <formula1>0</formula1>
      <formula2>999999999999</formula2>
    </dataValidation>
  </dataValidations>
  <printOptions horizontalCentered="1"/>
  <pageMargins left="0.4" right="0.39" top="0.38" bottom="0.23" header="0.15748031496062992" footer="0.15748031496062992"/>
  <pageSetup paperSize="9" scale="66" fitToHeight="2"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glio13"/>
  <dimension ref="A1:W31"/>
  <sheetViews>
    <sheetView showGridLines="0" workbookViewId="0">
      <pane xSplit="2" ySplit="6" topLeftCell="C7" activePane="bottomRight" state="frozen"/>
      <selection activeCell="C4" sqref="C4:C6"/>
      <selection pane="topRight" activeCell="C4" sqref="C4:C6"/>
      <selection pane="bottomLeft" activeCell="C4" sqref="C4:C6"/>
      <selection pane="bottomRight" activeCell="C7" sqref="C7"/>
    </sheetView>
  </sheetViews>
  <sheetFormatPr defaultColWidth="10.7109375" defaultRowHeight="10.199999999999999" x14ac:dyDescent="0.2"/>
  <cols>
    <col min="1" max="1" width="36.7109375" style="69" customWidth="1"/>
    <col min="2" max="2" width="10.7109375" style="68" customWidth="1"/>
    <col min="3" max="8" width="10.7109375" style="69" customWidth="1"/>
    <col min="9" max="12" width="11.140625" style="69" customWidth="1"/>
    <col min="13" max="20" width="10.28515625" style="69" customWidth="1"/>
    <col min="21" max="22" width="10.7109375" style="69" customWidth="1"/>
    <col min="23" max="23" width="5.7109375" style="69" hidden="1" customWidth="1"/>
    <col min="24" max="16384" width="10.7109375" style="69"/>
  </cols>
  <sheetData>
    <row r="1" spans="1:23" s="3" customFormat="1" ht="43.5" customHeight="1" x14ac:dyDescent="0.2">
      <c r="A1" s="1463" t="str">
        <f>'t1'!A1</f>
        <v>ENTI PUBBLICI NON ECONOMICI - anno 2023</v>
      </c>
      <c r="B1" s="1463"/>
      <c r="C1" s="1463"/>
      <c r="D1" s="1463"/>
      <c r="E1" s="1463"/>
      <c r="F1" s="1463"/>
      <c r="G1" s="1463"/>
      <c r="H1" s="1463"/>
      <c r="I1" s="1463"/>
      <c r="J1" s="1463"/>
      <c r="K1" s="1463"/>
      <c r="L1" s="1463"/>
      <c r="M1" s="1463"/>
      <c r="N1" s="1463"/>
      <c r="O1" s="1463"/>
      <c r="P1" s="1463"/>
      <c r="Q1" s="320"/>
      <c r="R1" s="320"/>
      <c r="S1" s="320"/>
      <c r="T1" s="320"/>
      <c r="V1" s="286"/>
      <c r="W1"/>
    </row>
    <row r="2" spans="1:23" ht="30" customHeight="1" thickBot="1" x14ac:dyDescent="0.25">
      <c r="A2" s="67"/>
      <c r="D2" s="70"/>
      <c r="E2" s="70"/>
      <c r="F2" s="70"/>
      <c r="J2" s="1499"/>
      <c r="K2" s="1499"/>
      <c r="L2" s="1499"/>
      <c r="M2" s="1499"/>
      <c r="N2" s="1499"/>
      <c r="O2" s="1499"/>
      <c r="P2" s="1499"/>
      <c r="Q2" s="1499"/>
      <c r="R2" s="1499"/>
      <c r="S2" s="1499"/>
      <c r="T2" s="1499"/>
      <c r="U2" s="1499"/>
      <c r="V2" s="1499"/>
    </row>
    <row r="3" spans="1:23" ht="15" customHeight="1" thickBot="1" x14ac:dyDescent="0.25">
      <c r="A3" s="71"/>
      <c r="B3" s="72"/>
      <c r="C3" s="73" t="s">
        <v>235</v>
      </c>
      <c r="D3" s="74"/>
      <c r="E3" s="74"/>
      <c r="F3" s="74"/>
      <c r="G3" s="74"/>
      <c r="H3" s="74"/>
      <c r="I3" s="74"/>
      <c r="J3" s="74"/>
      <c r="K3" s="74"/>
      <c r="L3" s="74"/>
      <c r="M3" s="74"/>
      <c r="N3" s="74"/>
      <c r="O3" s="74"/>
      <c r="P3" s="74"/>
      <c r="Q3" s="74"/>
      <c r="R3" s="74"/>
      <c r="S3" s="74"/>
      <c r="T3" s="74"/>
      <c r="U3" s="74"/>
      <c r="V3" s="75"/>
    </row>
    <row r="4" spans="1:23" ht="37.5" customHeight="1" thickTop="1" x14ac:dyDescent="0.2">
      <c r="A4" s="258" t="s">
        <v>129</v>
      </c>
      <c r="B4" s="76" t="s">
        <v>57</v>
      </c>
      <c r="C4" s="1521" t="s">
        <v>331</v>
      </c>
      <c r="D4" s="1501"/>
      <c r="E4" s="1521" t="s">
        <v>85</v>
      </c>
      <c r="F4" s="1501"/>
      <c r="G4" s="1521" t="s">
        <v>594</v>
      </c>
      <c r="H4" s="1522"/>
      <c r="I4" s="1523" t="s">
        <v>308</v>
      </c>
      <c r="J4" s="1527"/>
      <c r="K4" s="1521" t="s">
        <v>309</v>
      </c>
      <c r="L4" s="1522"/>
      <c r="M4" s="1521" t="s">
        <v>310</v>
      </c>
      <c r="N4" s="1522"/>
      <c r="O4" s="1523" t="s">
        <v>311</v>
      </c>
      <c r="P4" s="1524"/>
      <c r="Q4" s="1521" t="s">
        <v>1079</v>
      </c>
      <c r="R4" s="1522"/>
      <c r="S4" s="1521" t="s">
        <v>1080</v>
      </c>
      <c r="T4" s="1522"/>
      <c r="U4" s="1519" t="s">
        <v>60</v>
      </c>
      <c r="V4" s="1520"/>
    </row>
    <row r="5" spans="1:23" x14ac:dyDescent="0.2">
      <c r="A5" s="540"/>
      <c r="B5" s="76"/>
      <c r="C5" s="1525" t="s">
        <v>338</v>
      </c>
      <c r="D5" s="1526"/>
      <c r="E5" s="1525" t="s">
        <v>339</v>
      </c>
      <c r="F5" s="1526"/>
      <c r="G5" s="1525" t="s">
        <v>340</v>
      </c>
      <c r="H5" s="1526"/>
      <c r="I5" s="1525" t="s">
        <v>341</v>
      </c>
      <c r="J5" s="1526"/>
      <c r="K5" s="1525" t="s">
        <v>342</v>
      </c>
      <c r="L5" s="1526"/>
      <c r="M5" s="1525" t="s">
        <v>343</v>
      </c>
      <c r="N5" s="1526"/>
      <c r="O5" s="1525" t="s">
        <v>344</v>
      </c>
      <c r="P5" s="1526"/>
      <c r="Q5" s="1525" t="s">
        <v>570</v>
      </c>
      <c r="R5" s="1526"/>
      <c r="S5" s="1525" t="s">
        <v>740</v>
      </c>
      <c r="T5" s="1526"/>
      <c r="U5" s="1528"/>
      <c r="V5" s="1529"/>
    </row>
    <row r="6" spans="1:23" ht="10.8" thickBot="1" x14ac:dyDescent="0.25">
      <c r="A6" s="717" t="s">
        <v>609</v>
      </c>
      <c r="B6" s="77"/>
      <c r="C6" s="544" t="s">
        <v>58</v>
      </c>
      <c r="D6" s="545" t="s">
        <v>59</v>
      </c>
      <c r="E6" s="544" t="s">
        <v>58</v>
      </c>
      <c r="F6" s="545" t="s">
        <v>59</v>
      </c>
      <c r="G6" s="544" t="s">
        <v>58</v>
      </c>
      <c r="H6" s="545" t="s">
        <v>59</v>
      </c>
      <c r="I6" s="544" t="s">
        <v>58</v>
      </c>
      <c r="J6" s="545" t="s">
        <v>59</v>
      </c>
      <c r="K6" s="544" t="s">
        <v>58</v>
      </c>
      <c r="L6" s="545" t="s">
        <v>59</v>
      </c>
      <c r="M6" s="544" t="s">
        <v>58</v>
      </c>
      <c r="N6" s="545" t="s">
        <v>59</v>
      </c>
      <c r="O6" s="544" t="s">
        <v>58</v>
      </c>
      <c r="P6" s="545" t="s">
        <v>59</v>
      </c>
      <c r="Q6" s="544" t="s">
        <v>58</v>
      </c>
      <c r="R6" s="545" t="s">
        <v>59</v>
      </c>
      <c r="S6" s="544" t="s">
        <v>58</v>
      </c>
      <c r="T6" s="545" t="s">
        <v>59</v>
      </c>
      <c r="U6" s="544" t="s">
        <v>58</v>
      </c>
      <c r="V6" s="546" t="s">
        <v>59</v>
      </c>
    </row>
    <row r="7" spans="1:23" ht="12" customHeight="1" thickTop="1" x14ac:dyDescent="0.2">
      <c r="A7" s="17" t="str">
        <f>'t1'!A6</f>
        <v>DIRETTORE GENERALE</v>
      </c>
      <c r="B7" s="208" t="str">
        <f>'t1'!B6</f>
        <v>0D0097</v>
      </c>
      <c r="C7" s="586"/>
      <c r="D7" s="587"/>
      <c r="E7" s="586"/>
      <c r="F7" s="588"/>
      <c r="G7" s="586"/>
      <c r="H7" s="588"/>
      <c r="I7" s="586"/>
      <c r="J7" s="587"/>
      <c r="K7" s="588"/>
      <c r="L7" s="587"/>
      <c r="M7" s="588"/>
      <c r="N7" s="587"/>
      <c r="O7" s="588"/>
      <c r="P7" s="587"/>
      <c r="Q7" s="588"/>
      <c r="R7" s="587"/>
      <c r="S7" s="588"/>
      <c r="T7" s="587"/>
      <c r="U7" s="396">
        <f>SUM(C7,E7,G7,I7,K7,M7,O7,Q7,S7)</f>
        <v>0</v>
      </c>
      <c r="V7" s="397">
        <f>SUM(D7,F7,H7,J7,L7,N7,P7,R7,T7)</f>
        <v>0</v>
      </c>
      <c r="W7" s="710">
        <f>'t1'!M6</f>
        <v>0</v>
      </c>
    </row>
    <row r="8" spans="1:23" ht="12" customHeight="1" x14ac:dyDescent="0.2">
      <c r="A8" s="135" t="str">
        <f>'t1'!A7</f>
        <v>DIRIGENTE I FASCIA</v>
      </c>
      <c r="B8" s="201" t="str">
        <f>'t1'!B7</f>
        <v>0D0077</v>
      </c>
      <c r="C8" s="589"/>
      <c r="D8" s="590"/>
      <c r="E8" s="589"/>
      <c r="F8" s="591"/>
      <c r="G8" s="589"/>
      <c r="H8" s="591"/>
      <c r="I8" s="589"/>
      <c r="J8" s="590"/>
      <c r="K8" s="591"/>
      <c r="L8" s="590"/>
      <c r="M8" s="591"/>
      <c r="N8" s="590"/>
      <c r="O8" s="591"/>
      <c r="P8" s="590"/>
      <c r="Q8" s="591"/>
      <c r="R8" s="590"/>
      <c r="S8" s="591"/>
      <c r="T8" s="590"/>
      <c r="U8" s="396">
        <f t="shared" ref="U8:U21" si="0">SUM(C8,E8,G8,I8,K8,M8,O8,Q8,S8)</f>
        <v>0</v>
      </c>
      <c r="V8" s="397">
        <f t="shared" ref="V8:V21" si="1">SUM(D8,F8,H8,J8,L8,N8,P8,R8,T8)</f>
        <v>0</v>
      </c>
      <c r="W8" s="710">
        <f>'t1'!M7</f>
        <v>0</v>
      </c>
    </row>
    <row r="9" spans="1:23" ht="12" customHeight="1" x14ac:dyDescent="0.2">
      <c r="A9" s="135" t="str">
        <f>'t1'!A8</f>
        <v>DIRIGENTE I FASCIA A TEMPO DETERM.</v>
      </c>
      <c r="B9" s="201" t="str">
        <f>'t1'!B8</f>
        <v>0D0078</v>
      </c>
      <c r="C9" s="589"/>
      <c r="D9" s="590"/>
      <c r="E9" s="589"/>
      <c r="F9" s="591"/>
      <c r="G9" s="589"/>
      <c r="H9" s="591"/>
      <c r="I9" s="589"/>
      <c r="J9" s="590"/>
      <c r="K9" s="591"/>
      <c r="L9" s="590"/>
      <c r="M9" s="591"/>
      <c r="N9" s="590"/>
      <c r="O9" s="591"/>
      <c r="P9" s="590"/>
      <c r="Q9" s="591"/>
      <c r="R9" s="590"/>
      <c r="S9" s="591"/>
      <c r="T9" s="590"/>
      <c r="U9" s="396">
        <f t="shared" si="0"/>
        <v>0</v>
      </c>
      <c r="V9" s="397">
        <f t="shared" si="1"/>
        <v>0</v>
      </c>
      <c r="W9" s="710">
        <f>'t1'!M8</f>
        <v>0</v>
      </c>
    </row>
    <row r="10" spans="1:23" ht="12" customHeight="1" x14ac:dyDescent="0.2">
      <c r="A10" s="135" t="str">
        <f>'t1'!A9</f>
        <v>DIRIGENTE II FASCIA</v>
      </c>
      <c r="B10" s="201" t="str">
        <f>'t1'!B9</f>
        <v>0D0079</v>
      </c>
      <c r="C10" s="589"/>
      <c r="D10" s="590"/>
      <c r="E10" s="589"/>
      <c r="F10" s="591"/>
      <c r="G10" s="589"/>
      <c r="H10" s="591"/>
      <c r="I10" s="589"/>
      <c r="J10" s="590"/>
      <c r="K10" s="591"/>
      <c r="L10" s="590"/>
      <c r="M10" s="591"/>
      <c r="N10" s="590"/>
      <c r="O10" s="591"/>
      <c r="P10" s="590"/>
      <c r="Q10" s="591"/>
      <c r="R10" s="590"/>
      <c r="S10" s="591"/>
      <c r="T10" s="590"/>
      <c r="U10" s="396">
        <f t="shared" si="0"/>
        <v>0</v>
      </c>
      <c r="V10" s="397">
        <f t="shared" si="1"/>
        <v>0</v>
      </c>
      <c r="W10" s="710">
        <f>'t1'!M9</f>
        <v>0</v>
      </c>
    </row>
    <row r="11" spans="1:23" ht="12" customHeight="1" x14ac:dyDescent="0.2">
      <c r="A11" s="135" t="str">
        <f>'t1'!A10</f>
        <v>DIRIGENTE II FASCIA A TEMPO DETERM.</v>
      </c>
      <c r="B11" s="201" t="str">
        <f>'t1'!B10</f>
        <v>0D0080</v>
      </c>
      <c r="C11" s="589"/>
      <c r="D11" s="590"/>
      <c r="E11" s="589"/>
      <c r="F11" s="591"/>
      <c r="G11" s="589"/>
      <c r="H11" s="591"/>
      <c r="I11" s="589"/>
      <c r="J11" s="590"/>
      <c r="K11" s="591"/>
      <c r="L11" s="590"/>
      <c r="M11" s="591"/>
      <c r="N11" s="590"/>
      <c r="O11" s="591"/>
      <c r="P11" s="590"/>
      <c r="Q11" s="591"/>
      <c r="R11" s="590"/>
      <c r="S11" s="591"/>
      <c r="T11" s="590"/>
      <c r="U11" s="396">
        <f t="shared" si="0"/>
        <v>0</v>
      </c>
      <c r="V11" s="397">
        <f t="shared" si="1"/>
        <v>0</v>
      </c>
      <c r="W11" s="710">
        <f>'t1'!M10</f>
        <v>0</v>
      </c>
    </row>
    <row r="12" spans="1:23" ht="12" customHeight="1" x14ac:dyDescent="0.2">
      <c r="A12" s="135" t="str">
        <f>'t1'!A11</f>
        <v>MEDICO II FASCIA T.P.</v>
      </c>
      <c r="B12" s="201" t="str">
        <f>'t1'!B11</f>
        <v>0D0584</v>
      </c>
      <c r="C12" s="589"/>
      <c r="D12" s="590"/>
      <c r="E12" s="589"/>
      <c r="F12" s="591"/>
      <c r="G12" s="589"/>
      <c r="H12" s="591"/>
      <c r="I12" s="589"/>
      <c r="J12" s="590"/>
      <c r="K12" s="591"/>
      <c r="L12" s="590"/>
      <c r="M12" s="591"/>
      <c r="N12" s="590"/>
      <c r="O12" s="591"/>
      <c r="P12" s="590"/>
      <c r="Q12" s="591"/>
      <c r="R12" s="590"/>
      <c r="S12" s="591"/>
      <c r="T12" s="590"/>
      <c r="U12" s="396">
        <f t="shared" si="0"/>
        <v>0</v>
      </c>
      <c r="V12" s="397">
        <f t="shared" si="1"/>
        <v>0</v>
      </c>
      <c r="W12" s="710">
        <f>'t1'!M11</f>
        <v>0</v>
      </c>
    </row>
    <row r="13" spans="1:23" ht="12" customHeight="1" x14ac:dyDescent="0.2">
      <c r="A13" s="135" t="str">
        <f>'t1'!A12</f>
        <v>MEDICO I FASCIA T.P.</v>
      </c>
      <c r="B13" s="201" t="str">
        <f>'t1'!B12</f>
        <v>0D0585</v>
      </c>
      <c r="C13" s="589"/>
      <c r="D13" s="590"/>
      <c r="E13" s="589"/>
      <c r="F13" s="591"/>
      <c r="G13" s="589"/>
      <c r="H13" s="591"/>
      <c r="I13" s="589"/>
      <c r="J13" s="590"/>
      <c r="K13" s="591"/>
      <c r="L13" s="590"/>
      <c r="M13" s="591"/>
      <c r="N13" s="590"/>
      <c r="O13" s="591"/>
      <c r="P13" s="590"/>
      <c r="Q13" s="591"/>
      <c r="R13" s="590"/>
      <c r="S13" s="591"/>
      <c r="T13" s="590"/>
      <c r="U13" s="396">
        <f t="shared" si="0"/>
        <v>0</v>
      </c>
      <c r="V13" s="397">
        <f t="shared" si="1"/>
        <v>0</v>
      </c>
      <c r="W13" s="710">
        <f>'t1'!M12</f>
        <v>0</v>
      </c>
    </row>
    <row r="14" spans="1:23" ht="12" customHeight="1" x14ac:dyDescent="0.2">
      <c r="A14" s="135" t="str">
        <f>'t1'!A13</f>
        <v>MEDICO II FASCIA T.D.</v>
      </c>
      <c r="B14" s="201" t="str">
        <f>'t1'!B13</f>
        <v>0D0586</v>
      </c>
      <c r="C14" s="589"/>
      <c r="D14" s="590"/>
      <c r="E14" s="589"/>
      <c r="F14" s="591"/>
      <c r="G14" s="589"/>
      <c r="H14" s="591"/>
      <c r="I14" s="589"/>
      <c r="J14" s="590"/>
      <c r="K14" s="591"/>
      <c r="L14" s="590"/>
      <c r="M14" s="591"/>
      <c r="N14" s="590"/>
      <c r="O14" s="591"/>
      <c r="P14" s="590"/>
      <c r="Q14" s="591"/>
      <c r="R14" s="590"/>
      <c r="S14" s="591"/>
      <c r="T14" s="590"/>
      <c r="U14" s="396">
        <f t="shared" si="0"/>
        <v>0</v>
      </c>
      <c r="V14" s="397">
        <f t="shared" si="1"/>
        <v>0</v>
      </c>
      <c r="W14" s="710">
        <f>'t1'!M13</f>
        <v>0</v>
      </c>
    </row>
    <row r="15" spans="1:23" ht="12" customHeight="1" x14ac:dyDescent="0.2">
      <c r="A15" s="135" t="str">
        <f>'t1'!A14</f>
        <v>MEDICO I FASCIA T.D.</v>
      </c>
      <c r="B15" s="201" t="str">
        <f>'t1'!B14</f>
        <v>0D0496</v>
      </c>
      <c r="C15" s="589"/>
      <c r="D15" s="590"/>
      <c r="E15" s="589"/>
      <c r="F15" s="591"/>
      <c r="G15" s="589"/>
      <c r="H15" s="591"/>
      <c r="I15" s="589"/>
      <c r="J15" s="590"/>
      <c r="K15" s="591"/>
      <c r="L15" s="590"/>
      <c r="M15" s="591"/>
      <c r="N15" s="590"/>
      <c r="O15" s="591"/>
      <c r="P15" s="590"/>
      <c r="Q15" s="591"/>
      <c r="R15" s="590"/>
      <c r="S15" s="591"/>
      <c r="T15" s="590"/>
      <c r="U15" s="396">
        <f t="shared" si="0"/>
        <v>0</v>
      </c>
      <c r="V15" s="397">
        <f t="shared" si="1"/>
        <v>0</v>
      </c>
      <c r="W15" s="710">
        <f>'t1'!M14</f>
        <v>0</v>
      </c>
    </row>
    <row r="16" spans="1:23" ht="12" customHeight="1" x14ac:dyDescent="0.2">
      <c r="A16" s="135" t="str">
        <f>'t1'!A15</f>
        <v>PROF.STI LEGALI LIV. II DIFF.</v>
      </c>
      <c r="B16" s="201" t="str">
        <f>'t1'!B15</f>
        <v>0D0473</v>
      </c>
      <c r="C16" s="589"/>
      <c r="D16" s="590"/>
      <c r="E16" s="589"/>
      <c r="F16" s="591"/>
      <c r="G16" s="589"/>
      <c r="H16" s="591"/>
      <c r="I16" s="589"/>
      <c r="J16" s="590"/>
      <c r="K16" s="591"/>
      <c r="L16" s="590"/>
      <c r="M16" s="591"/>
      <c r="N16" s="590"/>
      <c r="O16" s="591"/>
      <c r="P16" s="590"/>
      <c r="Q16" s="591"/>
      <c r="R16" s="590"/>
      <c r="S16" s="591"/>
      <c r="T16" s="590"/>
      <c r="U16" s="396">
        <f t="shared" si="0"/>
        <v>0</v>
      </c>
      <c r="V16" s="397">
        <f t="shared" si="1"/>
        <v>0</v>
      </c>
      <c r="W16" s="710">
        <f>'t1'!M15</f>
        <v>0</v>
      </c>
    </row>
    <row r="17" spans="1:23" ht="12" customHeight="1" x14ac:dyDescent="0.2">
      <c r="A17" s="135" t="str">
        <f>'t1'!A16</f>
        <v>PROF.STI LEGALI LIV. I DIFF.</v>
      </c>
      <c r="B17" s="201" t="str">
        <f>'t1'!B16</f>
        <v>0D0472</v>
      </c>
      <c r="C17" s="589"/>
      <c r="D17" s="590"/>
      <c r="E17" s="589"/>
      <c r="F17" s="591"/>
      <c r="G17" s="589"/>
      <c r="H17" s="591"/>
      <c r="I17" s="589"/>
      <c r="J17" s="590"/>
      <c r="K17" s="591"/>
      <c r="L17" s="590"/>
      <c r="M17" s="591"/>
      <c r="N17" s="590"/>
      <c r="O17" s="591"/>
      <c r="P17" s="590"/>
      <c r="Q17" s="591"/>
      <c r="R17" s="590"/>
      <c r="S17" s="591"/>
      <c r="T17" s="590"/>
      <c r="U17" s="396">
        <f t="shared" si="0"/>
        <v>0</v>
      </c>
      <c r="V17" s="397">
        <f t="shared" si="1"/>
        <v>0</v>
      </c>
      <c r="W17" s="710">
        <f>'t1'!M16</f>
        <v>0</v>
      </c>
    </row>
    <row r="18" spans="1:23" ht="12" customHeight="1" x14ac:dyDescent="0.2">
      <c r="A18" s="135" t="str">
        <f>'t1'!A17</f>
        <v>PROF.STI LEGALI</v>
      </c>
      <c r="B18" s="201" t="str">
        <f>'t1'!B17</f>
        <v>0D0084</v>
      </c>
      <c r="C18" s="592"/>
      <c r="D18" s="590"/>
      <c r="E18" s="589"/>
      <c r="F18" s="591"/>
      <c r="G18" s="589"/>
      <c r="H18" s="591"/>
      <c r="I18" s="589"/>
      <c r="J18" s="590"/>
      <c r="K18" s="591"/>
      <c r="L18" s="590"/>
      <c r="M18" s="591"/>
      <c r="N18" s="590"/>
      <c r="O18" s="591"/>
      <c r="P18" s="590"/>
      <c r="Q18" s="591"/>
      <c r="R18" s="590"/>
      <c r="S18" s="591"/>
      <c r="T18" s="590"/>
      <c r="U18" s="396">
        <f t="shared" si="0"/>
        <v>0</v>
      </c>
      <c r="V18" s="397">
        <f t="shared" si="1"/>
        <v>0</v>
      </c>
      <c r="W18" s="710">
        <f>'t1'!M17</f>
        <v>0</v>
      </c>
    </row>
    <row r="19" spans="1:23" ht="12" customHeight="1" x14ac:dyDescent="0.2">
      <c r="A19" s="135" t="str">
        <f>'t1'!A18</f>
        <v>ALTRI PROF.STI LIV. II DIFF.</v>
      </c>
      <c r="B19" s="201" t="str">
        <f>'t1'!B18</f>
        <v>0D0481</v>
      </c>
      <c r="C19" s="592"/>
      <c r="D19" s="593"/>
      <c r="E19" s="594"/>
      <c r="F19" s="595"/>
      <c r="G19" s="594"/>
      <c r="H19" s="595"/>
      <c r="I19" s="592"/>
      <c r="J19" s="593"/>
      <c r="K19" s="595"/>
      <c r="L19" s="593"/>
      <c r="M19" s="595"/>
      <c r="N19" s="593"/>
      <c r="O19" s="595"/>
      <c r="P19" s="593"/>
      <c r="Q19" s="595"/>
      <c r="R19" s="593"/>
      <c r="S19" s="595"/>
      <c r="T19" s="593"/>
      <c r="U19" s="396">
        <f t="shared" si="0"/>
        <v>0</v>
      </c>
      <c r="V19" s="397">
        <f t="shared" si="1"/>
        <v>0</v>
      </c>
      <c r="W19" s="710">
        <f>'t1'!M18</f>
        <v>0</v>
      </c>
    </row>
    <row r="20" spans="1:23" ht="12" customHeight="1" x14ac:dyDescent="0.2">
      <c r="A20" s="135" t="str">
        <f>'t1'!A19</f>
        <v>ALTRI PROF.STI LIV. I DIFF.</v>
      </c>
      <c r="B20" s="201" t="str">
        <f>'t1'!B19</f>
        <v>0D0480</v>
      </c>
      <c r="C20" s="592"/>
      <c r="D20" s="593"/>
      <c r="E20" s="594"/>
      <c r="F20" s="595"/>
      <c r="G20" s="594"/>
      <c r="H20" s="595"/>
      <c r="I20" s="592"/>
      <c r="J20" s="593"/>
      <c r="K20" s="595"/>
      <c r="L20" s="593"/>
      <c r="M20" s="595"/>
      <c r="N20" s="593"/>
      <c r="O20" s="595"/>
      <c r="P20" s="593"/>
      <c r="Q20" s="595"/>
      <c r="R20" s="593"/>
      <c r="S20" s="595"/>
      <c r="T20" s="593"/>
      <c r="U20" s="396">
        <f t="shared" si="0"/>
        <v>0</v>
      </c>
      <c r="V20" s="397">
        <f t="shared" si="1"/>
        <v>0</v>
      </c>
      <c r="W20" s="710">
        <f>'t1'!M19</f>
        <v>0</v>
      </c>
    </row>
    <row r="21" spans="1:23" ht="12" customHeight="1" x14ac:dyDescent="0.2">
      <c r="A21" s="135" t="str">
        <f>'t1'!A20</f>
        <v>ALTRI PROF.STI</v>
      </c>
      <c r="B21" s="201" t="str">
        <f>'t1'!B20</f>
        <v>0D0075</v>
      </c>
      <c r="C21" s="592"/>
      <c r="D21" s="593"/>
      <c r="E21" s="594"/>
      <c r="F21" s="595"/>
      <c r="G21" s="594"/>
      <c r="H21" s="595"/>
      <c r="I21" s="592"/>
      <c r="J21" s="593"/>
      <c r="K21" s="595"/>
      <c r="L21" s="593"/>
      <c r="M21" s="595"/>
      <c r="N21" s="593"/>
      <c r="O21" s="595"/>
      <c r="P21" s="593"/>
      <c r="Q21" s="595"/>
      <c r="R21" s="593"/>
      <c r="S21" s="595"/>
      <c r="T21" s="593"/>
      <c r="U21" s="396">
        <f t="shared" si="0"/>
        <v>0</v>
      </c>
      <c r="V21" s="397">
        <f t="shared" si="1"/>
        <v>0</v>
      </c>
      <c r="W21" s="710">
        <f>'t1'!M20</f>
        <v>0</v>
      </c>
    </row>
    <row r="22" spans="1:23" ht="12" customHeight="1" x14ac:dyDescent="0.2">
      <c r="A22" s="135" t="str">
        <f>'t1'!A21</f>
        <v>ELEVATE PROFESSIONALITA'</v>
      </c>
      <c r="B22" s="201" t="str">
        <f>'t1'!B21</f>
        <v>0EP981</v>
      </c>
      <c r="C22" s="592"/>
      <c r="D22" s="593"/>
      <c r="E22" s="594"/>
      <c r="F22" s="595"/>
      <c r="G22" s="594"/>
      <c r="H22" s="595"/>
      <c r="I22" s="592"/>
      <c r="J22" s="593"/>
      <c r="K22" s="595"/>
      <c r="L22" s="593"/>
      <c r="M22" s="595"/>
      <c r="N22" s="593"/>
      <c r="O22" s="595"/>
      <c r="P22" s="593"/>
      <c r="Q22" s="595"/>
      <c r="R22" s="593"/>
      <c r="S22" s="595"/>
      <c r="T22" s="593"/>
      <c r="U22" s="396">
        <f t="shared" ref="U22:V26" si="2">SUM(C22,E22,G22,I22,K22,M22,O22,Q22,S22)</f>
        <v>0</v>
      </c>
      <c r="V22" s="397">
        <f t="shared" si="2"/>
        <v>0</v>
      </c>
      <c r="W22" s="710">
        <f>'t1'!M21</f>
        <v>0</v>
      </c>
    </row>
    <row r="23" spans="1:23" ht="12" customHeight="1" x14ac:dyDescent="0.2">
      <c r="A23" s="135" t="str">
        <f>'t1'!A22</f>
        <v>FUNZIONARI</v>
      </c>
      <c r="B23" s="201" t="str">
        <f>'t1'!B22</f>
        <v>0FZ000</v>
      </c>
      <c r="C23" s="592"/>
      <c r="D23" s="593"/>
      <c r="E23" s="594"/>
      <c r="F23" s="595"/>
      <c r="G23" s="594"/>
      <c r="H23" s="595"/>
      <c r="I23" s="592"/>
      <c r="J23" s="593"/>
      <c r="K23" s="595"/>
      <c r="L23" s="593"/>
      <c r="M23" s="595"/>
      <c r="N23" s="593"/>
      <c r="O23" s="595"/>
      <c r="P23" s="593"/>
      <c r="Q23" s="595"/>
      <c r="R23" s="593"/>
      <c r="S23" s="595"/>
      <c r="T23" s="593"/>
      <c r="U23" s="396">
        <f t="shared" si="2"/>
        <v>0</v>
      </c>
      <c r="V23" s="397">
        <f t="shared" si="2"/>
        <v>0</v>
      </c>
      <c r="W23" s="710">
        <f>'t1'!M22</f>
        <v>0</v>
      </c>
    </row>
    <row r="24" spans="1:23" ht="12" customHeight="1" x14ac:dyDescent="0.2">
      <c r="A24" s="135" t="str">
        <f>'t1'!A23</f>
        <v>ASSISTENTI</v>
      </c>
      <c r="B24" s="201" t="str">
        <f>'t1'!B23</f>
        <v>0AS000</v>
      </c>
      <c r="C24" s="592"/>
      <c r="D24" s="593"/>
      <c r="E24" s="594"/>
      <c r="F24" s="595"/>
      <c r="G24" s="594"/>
      <c r="H24" s="595"/>
      <c r="I24" s="592"/>
      <c r="J24" s="593"/>
      <c r="K24" s="595"/>
      <c r="L24" s="593"/>
      <c r="M24" s="595"/>
      <c r="N24" s="593"/>
      <c r="O24" s="595"/>
      <c r="P24" s="593"/>
      <c r="Q24" s="595"/>
      <c r="R24" s="593"/>
      <c r="S24" s="595"/>
      <c r="T24" s="593"/>
      <c r="U24" s="396">
        <f t="shared" si="2"/>
        <v>0</v>
      </c>
      <c r="V24" s="397">
        <f t="shared" si="2"/>
        <v>0</v>
      </c>
      <c r="W24" s="710">
        <f>'t1'!M23</f>
        <v>0</v>
      </c>
    </row>
    <row r="25" spans="1:23" ht="12" customHeight="1" x14ac:dyDescent="0.2">
      <c r="A25" s="135" t="str">
        <f>'t1'!A24</f>
        <v>OPERATORI</v>
      </c>
      <c r="B25" s="201" t="str">
        <f>'t1'!B24</f>
        <v>0OP000</v>
      </c>
      <c r="C25" s="592"/>
      <c r="D25" s="593"/>
      <c r="E25" s="594"/>
      <c r="F25" s="595"/>
      <c r="G25" s="594"/>
      <c r="H25" s="595"/>
      <c r="I25" s="592"/>
      <c r="J25" s="593"/>
      <c r="K25" s="595"/>
      <c r="L25" s="593"/>
      <c r="M25" s="595"/>
      <c r="N25" s="593"/>
      <c r="O25" s="595"/>
      <c r="P25" s="593"/>
      <c r="Q25" s="595"/>
      <c r="R25" s="593"/>
      <c r="S25" s="595"/>
      <c r="T25" s="593"/>
      <c r="U25" s="396">
        <f t="shared" si="2"/>
        <v>0</v>
      </c>
      <c r="V25" s="397">
        <f t="shared" si="2"/>
        <v>0</v>
      </c>
      <c r="W25" s="710">
        <f>'t1'!M24</f>
        <v>0</v>
      </c>
    </row>
    <row r="26" spans="1:23" ht="12" customHeight="1" thickBot="1" x14ac:dyDescent="0.25">
      <c r="A26" s="135" t="str">
        <f>'t1'!A25</f>
        <v>CONTRATTISTI</v>
      </c>
      <c r="B26" s="201" t="str">
        <f>'t1'!B25</f>
        <v>000061</v>
      </c>
      <c r="C26" s="592"/>
      <c r="D26" s="593"/>
      <c r="E26" s="594"/>
      <c r="F26" s="595"/>
      <c r="G26" s="594"/>
      <c r="H26" s="595"/>
      <c r="I26" s="592"/>
      <c r="J26" s="593"/>
      <c r="K26" s="595"/>
      <c r="L26" s="593"/>
      <c r="M26" s="595"/>
      <c r="N26" s="593"/>
      <c r="O26" s="595"/>
      <c r="P26" s="593"/>
      <c r="Q26" s="595"/>
      <c r="R26" s="593"/>
      <c r="S26" s="595"/>
      <c r="T26" s="593"/>
      <c r="U26" s="396">
        <f t="shared" si="2"/>
        <v>0</v>
      </c>
      <c r="V26" s="397">
        <f t="shared" si="2"/>
        <v>0</v>
      </c>
      <c r="W26" s="710">
        <f>'t1'!M25</f>
        <v>0</v>
      </c>
    </row>
    <row r="27" spans="1:23" ht="12.75" customHeight="1" thickTop="1" thickBot="1" x14ac:dyDescent="0.25">
      <c r="A27" s="78" t="s">
        <v>60</v>
      </c>
      <c r="B27" s="79"/>
      <c r="C27" s="398">
        <f t="shared" ref="C27:V27" si="3">SUM(C7:C26)</f>
        <v>0</v>
      </c>
      <c r="D27" s="400">
        <f t="shared" si="3"/>
        <v>0</v>
      </c>
      <c r="E27" s="471">
        <f t="shared" si="3"/>
        <v>0</v>
      </c>
      <c r="F27" s="400">
        <f t="shared" si="3"/>
        <v>0</v>
      </c>
      <c r="G27" s="471">
        <f t="shared" si="3"/>
        <v>0</v>
      </c>
      <c r="H27" s="400">
        <f t="shared" si="3"/>
        <v>0</v>
      </c>
      <c r="I27" s="471">
        <f t="shared" si="3"/>
        <v>0</v>
      </c>
      <c r="J27" s="400">
        <f t="shared" si="3"/>
        <v>0</v>
      </c>
      <c r="K27" s="471">
        <f t="shared" si="3"/>
        <v>0</v>
      </c>
      <c r="L27" s="400">
        <f t="shared" si="3"/>
        <v>0</v>
      </c>
      <c r="M27" s="471">
        <f t="shared" si="3"/>
        <v>0</v>
      </c>
      <c r="N27" s="400">
        <f t="shared" si="3"/>
        <v>0</v>
      </c>
      <c r="O27" s="471">
        <f t="shared" si="3"/>
        <v>0</v>
      </c>
      <c r="P27" s="400">
        <f t="shared" si="3"/>
        <v>0</v>
      </c>
      <c r="Q27" s="471">
        <f t="shared" si="3"/>
        <v>0</v>
      </c>
      <c r="R27" s="400">
        <f t="shared" si="3"/>
        <v>0</v>
      </c>
      <c r="S27" s="471">
        <f t="shared" si="3"/>
        <v>0</v>
      </c>
      <c r="T27" s="400">
        <f t="shared" si="3"/>
        <v>0</v>
      </c>
      <c r="U27" s="398">
        <f t="shared" si="3"/>
        <v>0</v>
      </c>
      <c r="V27" s="399">
        <f t="shared" si="3"/>
        <v>0</v>
      </c>
    </row>
    <row r="29" spans="1:23" ht="9.75" customHeight="1" x14ac:dyDescent="0.2">
      <c r="A29" s="18" t="str">
        <f>'t1'!$A$27</f>
        <v>(a) personale a tempo indeterminato al quale viene applicato un contratto di lavoro di tipo privatistico (es.:tipografico,chimico,edile,metalmeccanico,portierato, ecc.)</v>
      </c>
      <c r="B29" s="2"/>
      <c r="C29" s="3"/>
      <c r="D29" s="3"/>
      <c r="E29" s="3"/>
      <c r="F29" s="3"/>
      <c r="G29" s="3"/>
      <c r="H29" s="3"/>
      <c r="I29" s="3"/>
      <c r="J29" s="3"/>
      <c r="K29" s="3"/>
      <c r="L29" s="3"/>
      <c r="M29" s="3"/>
      <c r="N29" s="3"/>
      <c r="O29" s="3"/>
      <c r="P29" s="3"/>
      <c r="Q29" s="3"/>
      <c r="R29" s="3"/>
      <c r="S29" s="3"/>
      <c r="T29" s="3"/>
    </row>
    <row r="30" spans="1:23" s="3" customFormat="1" x14ac:dyDescent="0.2">
      <c r="A30" s="18"/>
      <c r="B30" s="2"/>
    </row>
    <row r="31" spans="1:23" x14ac:dyDescent="0.2">
      <c r="A31" s="69" t="s">
        <v>140</v>
      </c>
    </row>
  </sheetData>
  <sheetProtection algorithmName="SHA-512" hashValue="Q/TrHfO6Cs1ckUIww8yPaWgy1lRTZ5pOy2/8Qpa3Agn87jbCCR3vTUMb0h/ie7a7d4MTyAwf5KTgxcr5YA3c1Q==" saltValue="SsvlBJzzlEwn9fgauvgEoQ==" spinCount="100000" sheet="1" formatColumns="0" selectLockedCells="1"/>
  <mergeCells count="22">
    <mergeCell ref="S5:T5"/>
    <mergeCell ref="K5:L5"/>
    <mergeCell ref="A1:P1"/>
    <mergeCell ref="G4:H4"/>
    <mergeCell ref="C4:D4"/>
    <mergeCell ref="E4:F4"/>
    <mergeCell ref="J2:V2"/>
    <mergeCell ref="I4:J4"/>
    <mergeCell ref="C5:D5"/>
    <mergeCell ref="U5:V5"/>
    <mergeCell ref="Q5:R5"/>
    <mergeCell ref="E5:F5"/>
    <mergeCell ref="O5:P5"/>
    <mergeCell ref="M5:N5"/>
    <mergeCell ref="G5:H5"/>
    <mergeCell ref="I5:J5"/>
    <mergeCell ref="U4:V4"/>
    <mergeCell ref="K4:L4"/>
    <mergeCell ref="S4:T4"/>
    <mergeCell ref="Q4:R4"/>
    <mergeCell ref="O4:P4"/>
    <mergeCell ref="M4:N4"/>
  </mergeCells>
  <phoneticPr fontId="30" type="noConversion"/>
  <conditionalFormatting sqref="A7:V26">
    <cfRule type="expression" dxfId="42" priority="4" stopIfTrue="1">
      <formula>$W7&gt;0</formula>
    </cfRule>
  </conditionalFormatting>
  <printOptions horizontalCentered="1" verticalCentered="1"/>
  <pageMargins left="0" right="0" top="0.19685039370078741" bottom="0.15748031496062992" header="0.15748031496062992" footer="0.15748031496062992"/>
  <pageSetup paperSize="9" scale="7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glio14"/>
  <dimension ref="A1:Y28"/>
  <sheetViews>
    <sheetView showGridLines="0" workbookViewId="0">
      <pane xSplit="2" ySplit="5" topLeftCell="C6" activePane="bottomRight" state="frozen"/>
      <selection activeCell="C4" sqref="C4:C6"/>
      <selection pane="topRight" activeCell="C4" sqref="C4:C6"/>
      <selection pane="bottomLeft" activeCell="C4" sqref="C4:C6"/>
      <selection pane="bottomRight" activeCell="C6" sqref="C6"/>
    </sheetView>
  </sheetViews>
  <sheetFormatPr defaultColWidth="10.7109375" defaultRowHeight="10.199999999999999" x14ac:dyDescent="0.2"/>
  <cols>
    <col min="1" max="1" width="37.42578125" style="51" customWidth="1"/>
    <col min="2" max="2" width="10.42578125" style="53" customWidth="1"/>
    <col min="3" max="22" width="8.28515625" style="51" customWidth="1"/>
    <col min="23" max="23" width="10" style="51" customWidth="1"/>
    <col min="24" max="24" width="10.7109375" style="51" customWidth="1"/>
    <col min="25" max="25" width="0" style="51" hidden="1" customWidth="1"/>
    <col min="26" max="16384" width="10.7109375" style="51"/>
  </cols>
  <sheetData>
    <row r="1" spans="1:25" s="3" customFormat="1" ht="43.5" customHeight="1" x14ac:dyDescent="0.2">
      <c r="A1" s="1463" t="str">
        <f>'t1'!A1</f>
        <v>ENTI PUBBLICI NON ECONOMICI - anno 2023</v>
      </c>
      <c r="B1" s="1463"/>
      <c r="C1" s="1463"/>
      <c r="D1" s="1463"/>
      <c r="E1" s="1463"/>
      <c r="F1" s="1463"/>
      <c r="G1" s="1463"/>
      <c r="H1" s="1463"/>
      <c r="I1" s="1463"/>
      <c r="J1" s="1463"/>
      <c r="K1" s="1463"/>
      <c r="L1" s="1463"/>
      <c r="M1" s="1463"/>
      <c r="N1" s="1463"/>
      <c r="O1" s="1463"/>
      <c r="P1" s="1463"/>
      <c r="Q1" s="1463"/>
      <c r="R1" s="1463"/>
      <c r="S1" s="1463"/>
      <c r="T1" s="1463"/>
      <c r="U1" s="1463"/>
      <c r="V1" s="1463"/>
      <c r="X1" s="286"/>
    </row>
    <row r="2" spans="1:25" ht="30" customHeight="1" thickBot="1" x14ac:dyDescent="0.25">
      <c r="A2" s="52"/>
      <c r="P2" s="1499"/>
      <c r="Q2" s="1499"/>
      <c r="R2" s="1499"/>
      <c r="S2" s="1499"/>
      <c r="T2" s="1499"/>
      <c r="U2" s="1499"/>
      <c r="V2" s="1499"/>
      <c r="W2" s="1499"/>
      <c r="X2" s="1499"/>
    </row>
    <row r="3" spans="1:25" ht="16.5" customHeight="1" thickBot="1" x14ac:dyDescent="0.25">
      <c r="A3" s="54"/>
      <c r="B3" s="55"/>
      <c r="C3" s="56" t="s">
        <v>235</v>
      </c>
      <c r="D3" s="57"/>
      <c r="E3" s="57"/>
      <c r="F3" s="57"/>
      <c r="G3" s="57"/>
      <c r="H3" s="57"/>
      <c r="I3" s="57"/>
      <c r="J3" s="57"/>
      <c r="K3" s="57"/>
      <c r="L3" s="57"/>
      <c r="M3" s="57"/>
      <c r="N3" s="57"/>
      <c r="O3" s="57"/>
      <c r="P3" s="57"/>
      <c r="Q3" s="57"/>
      <c r="R3" s="57"/>
      <c r="S3" s="57"/>
      <c r="T3" s="58"/>
      <c r="U3" s="57"/>
      <c r="V3" s="58"/>
      <c r="W3" s="57"/>
      <c r="X3" s="58"/>
    </row>
    <row r="4" spans="1:25" ht="16.5" customHeight="1" thickTop="1" x14ac:dyDescent="0.2">
      <c r="A4" s="257" t="s">
        <v>137</v>
      </c>
      <c r="B4" s="59" t="s">
        <v>57</v>
      </c>
      <c r="C4" s="1530" t="s">
        <v>77</v>
      </c>
      <c r="D4" s="1531"/>
      <c r="E4" s="1530" t="s">
        <v>78</v>
      </c>
      <c r="F4" s="1531"/>
      <c r="G4" s="1530" t="s">
        <v>79</v>
      </c>
      <c r="H4" s="1531"/>
      <c r="I4" s="1530" t="s">
        <v>80</v>
      </c>
      <c r="J4" s="1531"/>
      <c r="K4" s="1530" t="s">
        <v>81</v>
      </c>
      <c r="L4" s="1531"/>
      <c r="M4" s="1530" t="s">
        <v>82</v>
      </c>
      <c r="N4" s="1531"/>
      <c r="O4" s="1530" t="s">
        <v>83</v>
      </c>
      <c r="P4" s="1531"/>
      <c r="Q4" s="1530" t="s">
        <v>84</v>
      </c>
      <c r="R4" s="1531"/>
      <c r="S4" s="1530" t="s">
        <v>368</v>
      </c>
      <c r="T4" s="1531"/>
      <c r="U4" s="1530" t="s">
        <v>369</v>
      </c>
      <c r="V4" s="1531"/>
      <c r="W4" s="60" t="s">
        <v>60</v>
      </c>
      <c r="X4" s="119"/>
    </row>
    <row r="5" spans="1:25" ht="10.8" thickBot="1" x14ac:dyDescent="0.25">
      <c r="A5" s="717" t="s">
        <v>609</v>
      </c>
      <c r="B5" s="61"/>
      <c r="C5" s="62" t="s">
        <v>75</v>
      </c>
      <c r="D5" s="63" t="s">
        <v>76</v>
      </c>
      <c r="E5" s="62" t="s">
        <v>75</v>
      </c>
      <c r="F5" s="63" t="s">
        <v>76</v>
      </c>
      <c r="G5" s="62" t="s">
        <v>75</v>
      </c>
      <c r="H5" s="63" t="s">
        <v>76</v>
      </c>
      <c r="I5" s="62" t="s">
        <v>75</v>
      </c>
      <c r="J5" s="63" t="s">
        <v>76</v>
      </c>
      <c r="K5" s="62" t="s">
        <v>75</v>
      </c>
      <c r="L5" s="63" t="s">
        <v>76</v>
      </c>
      <c r="M5" s="62" t="s">
        <v>75</v>
      </c>
      <c r="N5" s="63" t="s">
        <v>76</v>
      </c>
      <c r="O5" s="62" t="s">
        <v>75</v>
      </c>
      <c r="P5" s="63" t="s">
        <v>76</v>
      </c>
      <c r="Q5" s="62" t="s">
        <v>75</v>
      </c>
      <c r="R5" s="63" t="s">
        <v>76</v>
      </c>
      <c r="S5" s="62" t="s">
        <v>75</v>
      </c>
      <c r="T5" s="64" t="s">
        <v>76</v>
      </c>
      <c r="U5" s="62" t="s">
        <v>75</v>
      </c>
      <c r="V5" s="64" t="s">
        <v>76</v>
      </c>
      <c r="W5" s="62" t="s">
        <v>75</v>
      </c>
      <c r="X5" s="64" t="s">
        <v>76</v>
      </c>
    </row>
    <row r="6" spans="1:25" ht="12.75" customHeight="1" thickTop="1" x14ac:dyDescent="0.2">
      <c r="A6" s="17" t="str">
        <f>'t1'!A6</f>
        <v>DIRETTORE GENERALE</v>
      </c>
      <c r="B6" s="208" t="str">
        <f>'t1'!B6</f>
        <v>0D0097</v>
      </c>
      <c r="C6" s="212"/>
      <c r="D6" s="213"/>
      <c r="E6" s="212"/>
      <c r="F6" s="213"/>
      <c r="G6" s="212"/>
      <c r="H6" s="213"/>
      <c r="I6" s="212"/>
      <c r="J6" s="213"/>
      <c r="K6" s="212"/>
      <c r="L6" s="213"/>
      <c r="M6" s="214"/>
      <c r="N6" s="215"/>
      <c r="O6" s="212"/>
      <c r="P6" s="213"/>
      <c r="Q6" s="212"/>
      <c r="R6" s="213"/>
      <c r="S6" s="216"/>
      <c r="T6" s="217"/>
      <c r="U6" s="216"/>
      <c r="V6" s="217"/>
      <c r="W6" s="404">
        <f>SUM(C6,E6,G6,I6,K6,M6,O6,Q6,S6,U6)</f>
        <v>0</v>
      </c>
      <c r="X6" s="405">
        <f>SUM(D6,F6,H6,J6,L6,N6,P6,R6,T6,V6)</f>
        <v>0</v>
      </c>
      <c r="Y6" s="711">
        <f>'t1'!M6</f>
        <v>0</v>
      </c>
    </row>
    <row r="7" spans="1:25" ht="12.75" customHeight="1" x14ac:dyDescent="0.2">
      <c r="A7" s="135" t="str">
        <f>'t1'!A7</f>
        <v>DIRIGENTE I FASCIA</v>
      </c>
      <c r="B7" s="201" t="str">
        <f>'t1'!B7</f>
        <v>0D0077</v>
      </c>
      <c r="C7" s="212"/>
      <c r="D7" s="213"/>
      <c r="E7" s="212"/>
      <c r="F7" s="213"/>
      <c r="G7" s="212"/>
      <c r="H7" s="213"/>
      <c r="I7" s="212"/>
      <c r="J7" s="213"/>
      <c r="K7" s="212"/>
      <c r="L7" s="213"/>
      <c r="M7" s="214"/>
      <c r="N7" s="215"/>
      <c r="O7" s="212"/>
      <c r="P7" s="213"/>
      <c r="Q7" s="212"/>
      <c r="R7" s="213"/>
      <c r="S7" s="216"/>
      <c r="T7" s="218"/>
      <c r="U7" s="216"/>
      <c r="V7" s="218"/>
      <c r="W7" s="404">
        <f t="shared" ref="W7:W20" si="0">SUM(C7,E7,G7,I7,K7,M7,O7,Q7,S7,U7)</f>
        <v>0</v>
      </c>
      <c r="X7" s="406">
        <f t="shared" ref="X7:X20" si="1">SUM(D7,F7,H7,J7,L7,N7,P7,R7,T7,V7)</f>
        <v>0</v>
      </c>
      <c r="Y7" s="711">
        <f>'t1'!M7</f>
        <v>0</v>
      </c>
    </row>
    <row r="8" spans="1:25" ht="12.75" customHeight="1" x14ac:dyDescent="0.2">
      <c r="A8" s="135" t="str">
        <f>'t1'!A8</f>
        <v>DIRIGENTE I FASCIA A TEMPO DETERM.</v>
      </c>
      <c r="B8" s="201" t="str">
        <f>'t1'!B8</f>
        <v>0D0078</v>
      </c>
      <c r="C8" s="212"/>
      <c r="D8" s="213"/>
      <c r="E8" s="212"/>
      <c r="F8" s="213"/>
      <c r="G8" s="212"/>
      <c r="H8" s="213"/>
      <c r="I8" s="212"/>
      <c r="J8" s="213"/>
      <c r="K8" s="212"/>
      <c r="L8" s="213"/>
      <c r="M8" s="214"/>
      <c r="N8" s="215"/>
      <c r="O8" s="212"/>
      <c r="P8" s="213"/>
      <c r="Q8" s="212"/>
      <c r="R8" s="213"/>
      <c r="S8" s="216"/>
      <c r="T8" s="218"/>
      <c r="U8" s="216"/>
      <c r="V8" s="218"/>
      <c r="W8" s="404">
        <f t="shared" si="0"/>
        <v>0</v>
      </c>
      <c r="X8" s="406">
        <f t="shared" si="1"/>
        <v>0</v>
      </c>
      <c r="Y8" s="711">
        <f>'t1'!M8</f>
        <v>0</v>
      </c>
    </row>
    <row r="9" spans="1:25" ht="12.75" customHeight="1" x14ac:dyDescent="0.2">
      <c r="A9" s="135" t="str">
        <f>'t1'!A9</f>
        <v>DIRIGENTE II FASCIA</v>
      </c>
      <c r="B9" s="201" t="str">
        <f>'t1'!B9</f>
        <v>0D0079</v>
      </c>
      <c r="C9" s="212"/>
      <c r="D9" s="213"/>
      <c r="E9" s="212"/>
      <c r="F9" s="213"/>
      <c r="G9" s="212"/>
      <c r="H9" s="213"/>
      <c r="I9" s="212"/>
      <c r="J9" s="213"/>
      <c r="K9" s="212"/>
      <c r="L9" s="213"/>
      <c r="M9" s="214"/>
      <c r="N9" s="215"/>
      <c r="O9" s="212"/>
      <c r="P9" s="213"/>
      <c r="Q9" s="212"/>
      <c r="R9" s="213"/>
      <c r="S9" s="216"/>
      <c r="T9" s="218"/>
      <c r="U9" s="216"/>
      <c r="V9" s="218"/>
      <c r="W9" s="404">
        <f t="shared" si="0"/>
        <v>0</v>
      </c>
      <c r="X9" s="406">
        <f t="shared" si="1"/>
        <v>0</v>
      </c>
      <c r="Y9" s="711">
        <f>'t1'!M9</f>
        <v>0</v>
      </c>
    </row>
    <row r="10" spans="1:25" ht="12.75" customHeight="1" x14ac:dyDescent="0.2">
      <c r="A10" s="135" t="str">
        <f>'t1'!A10</f>
        <v>DIRIGENTE II FASCIA A TEMPO DETERM.</v>
      </c>
      <c r="B10" s="201" t="str">
        <f>'t1'!B10</f>
        <v>0D0080</v>
      </c>
      <c r="C10" s="212"/>
      <c r="D10" s="213"/>
      <c r="E10" s="212"/>
      <c r="F10" s="213"/>
      <c r="G10" s="212"/>
      <c r="H10" s="213"/>
      <c r="I10" s="212"/>
      <c r="J10" s="213"/>
      <c r="K10" s="212"/>
      <c r="L10" s="213"/>
      <c r="M10" s="214"/>
      <c r="N10" s="215"/>
      <c r="O10" s="212"/>
      <c r="P10" s="213"/>
      <c r="Q10" s="212"/>
      <c r="R10" s="213"/>
      <c r="S10" s="216"/>
      <c r="T10" s="218"/>
      <c r="U10" s="216"/>
      <c r="V10" s="218"/>
      <c r="W10" s="404">
        <f t="shared" si="0"/>
        <v>0</v>
      </c>
      <c r="X10" s="406">
        <f t="shared" si="1"/>
        <v>0</v>
      </c>
      <c r="Y10" s="711">
        <f>'t1'!M10</f>
        <v>0</v>
      </c>
    </row>
    <row r="11" spans="1:25" ht="12.75" customHeight="1" x14ac:dyDescent="0.2">
      <c r="A11" s="135" t="str">
        <f>'t1'!A11</f>
        <v>MEDICO II FASCIA T.P.</v>
      </c>
      <c r="B11" s="201" t="str">
        <f>'t1'!B11</f>
        <v>0D0584</v>
      </c>
      <c r="C11" s="212"/>
      <c r="D11" s="213"/>
      <c r="E11" s="212"/>
      <c r="F11" s="213"/>
      <c r="G11" s="212"/>
      <c r="H11" s="213"/>
      <c r="I11" s="212"/>
      <c r="J11" s="213"/>
      <c r="K11" s="212"/>
      <c r="L11" s="213"/>
      <c r="M11" s="214"/>
      <c r="N11" s="215"/>
      <c r="O11" s="212"/>
      <c r="P11" s="213"/>
      <c r="Q11" s="212"/>
      <c r="R11" s="213"/>
      <c r="S11" s="216"/>
      <c r="T11" s="218"/>
      <c r="U11" s="216"/>
      <c r="V11" s="218"/>
      <c r="W11" s="404">
        <f t="shared" si="0"/>
        <v>0</v>
      </c>
      <c r="X11" s="406">
        <f t="shared" si="1"/>
        <v>0</v>
      </c>
      <c r="Y11" s="711">
        <f>'t1'!M11</f>
        <v>0</v>
      </c>
    </row>
    <row r="12" spans="1:25" ht="12.75" customHeight="1" x14ac:dyDescent="0.2">
      <c r="A12" s="135" t="str">
        <f>'t1'!A12</f>
        <v>MEDICO I FASCIA T.P.</v>
      </c>
      <c r="B12" s="201" t="str">
        <f>'t1'!B12</f>
        <v>0D0585</v>
      </c>
      <c r="C12" s="212"/>
      <c r="D12" s="213"/>
      <c r="E12" s="212"/>
      <c r="F12" s="213"/>
      <c r="G12" s="212"/>
      <c r="H12" s="213"/>
      <c r="I12" s="212"/>
      <c r="J12" s="213"/>
      <c r="K12" s="212"/>
      <c r="L12" s="213"/>
      <c r="M12" s="214"/>
      <c r="N12" s="215"/>
      <c r="O12" s="212"/>
      <c r="P12" s="213"/>
      <c r="Q12" s="212"/>
      <c r="R12" s="213"/>
      <c r="S12" s="216"/>
      <c r="T12" s="218"/>
      <c r="U12" s="216"/>
      <c r="V12" s="218"/>
      <c r="W12" s="404">
        <f t="shared" si="0"/>
        <v>0</v>
      </c>
      <c r="X12" s="406">
        <f t="shared" si="1"/>
        <v>0</v>
      </c>
      <c r="Y12" s="711">
        <f>'t1'!M12</f>
        <v>0</v>
      </c>
    </row>
    <row r="13" spans="1:25" ht="12.75" customHeight="1" x14ac:dyDescent="0.2">
      <c r="A13" s="135" t="str">
        <f>'t1'!A13</f>
        <v>MEDICO II FASCIA T.D.</v>
      </c>
      <c r="B13" s="201" t="str">
        <f>'t1'!B13</f>
        <v>0D0586</v>
      </c>
      <c r="C13" s="212"/>
      <c r="D13" s="213"/>
      <c r="E13" s="212"/>
      <c r="F13" s="213"/>
      <c r="G13" s="212"/>
      <c r="H13" s="213"/>
      <c r="I13" s="212"/>
      <c r="J13" s="213"/>
      <c r="K13" s="212"/>
      <c r="L13" s="213"/>
      <c r="M13" s="214"/>
      <c r="N13" s="215"/>
      <c r="O13" s="212"/>
      <c r="P13" s="213"/>
      <c r="Q13" s="212"/>
      <c r="R13" s="213"/>
      <c r="S13" s="216"/>
      <c r="T13" s="218"/>
      <c r="U13" s="216"/>
      <c r="V13" s="218"/>
      <c r="W13" s="404">
        <f t="shared" si="0"/>
        <v>0</v>
      </c>
      <c r="X13" s="406">
        <f t="shared" si="1"/>
        <v>0</v>
      </c>
      <c r="Y13" s="711">
        <f>'t1'!M13</f>
        <v>0</v>
      </c>
    </row>
    <row r="14" spans="1:25" ht="12.75" customHeight="1" x14ac:dyDescent="0.2">
      <c r="A14" s="135" t="str">
        <f>'t1'!A14</f>
        <v>MEDICO I FASCIA T.D.</v>
      </c>
      <c r="B14" s="201" t="str">
        <f>'t1'!B14</f>
        <v>0D0496</v>
      </c>
      <c r="C14" s="212"/>
      <c r="D14" s="213"/>
      <c r="E14" s="212"/>
      <c r="F14" s="213"/>
      <c r="G14" s="212"/>
      <c r="H14" s="213"/>
      <c r="I14" s="212"/>
      <c r="J14" s="213"/>
      <c r="K14" s="212"/>
      <c r="L14" s="213"/>
      <c r="M14" s="214"/>
      <c r="N14" s="215"/>
      <c r="O14" s="212"/>
      <c r="P14" s="213"/>
      <c r="Q14" s="212"/>
      <c r="R14" s="213"/>
      <c r="S14" s="216"/>
      <c r="T14" s="218"/>
      <c r="U14" s="216"/>
      <c r="V14" s="218"/>
      <c r="W14" s="404">
        <f t="shared" si="0"/>
        <v>0</v>
      </c>
      <c r="X14" s="406">
        <f t="shared" si="1"/>
        <v>0</v>
      </c>
      <c r="Y14" s="711">
        <f>'t1'!M14</f>
        <v>0</v>
      </c>
    </row>
    <row r="15" spans="1:25" ht="12.75" customHeight="1" x14ac:dyDescent="0.2">
      <c r="A15" s="135" t="str">
        <f>'t1'!A15</f>
        <v>PROF.STI LEGALI LIV. II DIFF.</v>
      </c>
      <c r="B15" s="201" t="str">
        <f>'t1'!B15</f>
        <v>0D0473</v>
      </c>
      <c r="C15" s="212"/>
      <c r="D15" s="213"/>
      <c r="E15" s="212"/>
      <c r="F15" s="213"/>
      <c r="G15" s="212"/>
      <c r="H15" s="213"/>
      <c r="I15" s="212"/>
      <c r="J15" s="213"/>
      <c r="K15" s="212"/>
      <c r="L15" s="213"/>
      <c r="M15" s="214"/>
      <c r="N15" s="215"/>
      <c r="O15" s="212"/>
      <c r="P15" s="213"/>
      <c r="Q15" s="212"/>
      <c r="R15" s="213"/>
      <c r="S15" s="216"/>
      <c r="T15" s="218"/>
      <c r="U15" s="216"/>
      <c r="V15" s="218"/>
      <c r="W15" s="404">
        <f t="shared" si="0"/>
        <v>0</v>
      </c>
      <c r="X15" s="406">
        <f t="shared" si="1"/>
        <v>0</v>
      </c>
      <c r="Y15" s="711">
        <f>'t1'!M15</f>
        <v>0</v>
      </c>
    </row>
    <row r="16" spans="1:25" ht="12.75" customHeight="1" x14ac:dyDescent="0.2">
      <c r="A16" s="135" t="str">
        <f>'t1'!A16</f>
        <v>PROF.STI LEGALI LIV. I DIFF.</v>
      </c>
      <c r="B16" s="201" t="str">
        <f>'t1'!B16</f>
        <v>0D0472</v>
      </c>
      <c r="C16" s="212"/>
      <c r="D16" s="213"/>
      <c r="E16" s="212"/>
      <c r="F16" s="213"/>
      <c r="G16" s="212"/>
      <c r="H16" s="213"/>
      <c r="I16" s="212"/>
      <c r="J16" s="213"/>
      <c r="K16" s="212"/>
      <c r="L16" s="213"/>
      <c r="M16" s="214"/>
      <c r="N16" s="215"/>
      <c r="O16" s="212"/>
      <c r="P16" s="213"/>
      <c r="Q16" s="212"/>
      <c r="R16" s="213"/>
      <c r="S16" s="216"/>
      <c r="T16" s="218"/>
      <c r="U16" s="216"/>
      <c r="V16" s="218"/>
      <c r="W16" s="404">
        <f t="shared" si="0"/>
        <v>0</v>
      </c>
      <c r="X16" s="406">
        <f t="shared" si="1"/>
        <v>0</v>
      </c>
      <c r="Y16" s="711">
        <f>'t1'!M16</f>
        <v>0</v>
      </c>
    </row>
    <row r="17" spans="1:25" ht="12.75" customHeight="1" x14ac:dyDescent="0.2">
      <c r="A17" s="135" t="str">
        <f>'t1'!A17</f>
        <v>PROF.STI LEGALI</v>
      </c>
      <c r="B17" s="201" t="str">
        <f>'t1'!B17</f>
        <v>0D0084</v>
      </c>
      <c r="C17" s="212"/>
      <c r="D17" s="213"/>
      <c r="E17" s="212"/>
      <c r="F17" s="213"/>
      <c r="G17" s="212"/>
      <c r="H17" s="213"/>
      <c r="I17" s="212"/>
      <c r="J17" s="213"/>
      <c r="K17" s="212"/>
      <c r="L17" s="213"/>
      <c r="M17" s="214"/>
      <c r="N17" s="215"/>
      <c r="O17" s="212"/>
      <c r="P17" s="213"/>
      <c r="Q17" s="212"/>
      <c r="R17" s="213"/>
      <c r="S17" s="216"/>
      <c r="T17" s="218"/>
      <c r="U17" s="216"/>
      <c r="V17" s="218"/>
      <c r="W17" s="404">
        <f t="shared" si="0"/>
        <v>0</v>
      </c>
      <c r="X17" s="406">
        <f t="shared" si="1"/>
        <v>0</v>
      </c>
      <c r="Y17" s="711">
        <f>'t1'!M17</f>
        <v>0</v>
      </c>
    </row>
    <row r="18" spans="1:25" ht="12.75" customHeight="1" x14ac:dyDescent="0.2">
      <c r="A18" s="135" t="str">
        <f>'t1'!A18</f>
        <v>ALTRI PROF.STI LIV. II DIFF.</v>
      </c>
      <c r="B18" s="201" t="str">
        <f>'t1'!B18</f>
        <v>0D0481</v>
      </c>
      <c r="C18" s="212"/>
      <c r="D18" s="213"/>
      <c r="E18" s="212"/>
      <c r="F18" s="213"/>
      <c r="G18" s="212"/>
      <c r="H18" s="213"/>
      <c r="I18" s="212"/>
      <c r="J18" s="213"/>
      <c r="K18" s="212"/>
      <c r="L18" s="213"/>
      <c r="M18" s="214"/>
      <c r="N18" s="215"/>
      <c r="O18" s="212"/>
      <c r="P18" s="213"/>
      <c r="Q18" s="212"/>
      <c r="R18" s="213"/>
      <c r="S18" s="216"/>
      <c r="T18" s="218"/>
      <c r="U18" s="216"/>
      <c r="V18" s="218"/>
      <c r="W18" s="404">
        <f t="shared" si="0"/>
        <v>0</v>
      </c>
      <c r="X18" s="406">
        <f t="shared" si="1"/>
        <v>0</v>
      </c>
      <c r="Y18" s="711">
        <f>'t1'!M18</f>
        <v>0</v>
      </c>
    </row>
    <row r="19" spans="1:25" ht="12.75" customHeight="1" x14ac:dyDescent="0.2">
      <c r="A19" s="135" t="str">
        <f>'t1'!A19</f>
        <v>ALTRI PROF.STI LIV. I DIFF.</v>
      </c>
      <c r="B19" s="201" t="str">
        <f>'t1'!B19</f>
        <v>0D0480</v>
      </c>
      <c r="C19" s="212"/>
      <c r="D19" s="213"/>
      <c r="E19" s="212"/>
      <c r="F19" s="213"/>
      <c r="G19" s="212"/>
      <c r="H19" s="213"/>
      <c r="I19" s="212"/>
      <c r="J19" s="213"/>
      <c r="K19" s="212"/>
      <c r="L19" s="213"/>
      <c r="M19" s="214"/>
      <c r="N19" s="215"/>
      <c r="O19" s="212"/>
      <c r="P19" s="213"/>
      <c r="Q19" s="212"/>
      <c r="R19" s="213"/>
      <c r="S19" s="216"/>
      <c r="T19" s="218"/>
      <c r="U19" s="216"/>
      <c r="V19" s="218"/>
      <c r="W19" s="404">
        <f t="shared" si="0"/>
        <v>0</v>
      </c>
      <c r="X19" s="406">
        <f t="shared" si="1"/>
        <v>0</v>
      </c>
      <c r="Y19" s="711">
        <f>'t1'!M19</f>
        <v>0</v>
      </c>
    </row>
    <row r="20" spans="1:25" ht="12.75" customHeight="1" x14ac:dyDescent="0.2">
      <c r="A20" s="135" t="str">
        <f>'t1'!A20</f>
        <v>ALTRI PROF.STI</v>
      </c>
      <c r="B20" s="201" t="str">
        <f>'t1'!B20</f>
        <v>0D0075</v>
      </c>
      <c r="C20" s="212"/>
      <c r="D20" s="213"/>
      <c r="E20" s="212"/>
      <c r="F20" s="213"/>
      <c r="G20" s="212"/>
      <c r="H20" s="213"/>
      <c r="I20" s="212"/>
      <c r="J20" s="213"/>
      <c r="K20" s="212"/>
      <c r="L20" s="213"/>
      <c r="M20" s="214"/>
      <c r="N20" s="215"/>
      <c r="O20" s="212"/>
      <c r="P20" s="213"/>
      <c r="Q20" s="212"/>
      <c r="R20" s="213"/>
      <c r="S20" s="216"/>
      <c r="T20" s="218"/>
      <c r="U20" s="216"/>
      <c r="V20" s="218"/>
      <c r="W20" s="404">
        <f t="shared" si="0"/>
        <v>0</v>
      </c>
      <c r="X20" s="406">
        <f t="shared" si="1"/>
        <v>0</v>
      </c>
      <c r="Y20" s="711">
        <f>'t1'!M20</f>
        <v>0</v>
      </c>
    </row>
    <row r="21" spans="1:25" ht="12.75" customHeight="1" x14ac:dyDescent="0.2">
      <c r="A21" s="135" t="str">
        <f>'t1'!A21</f>
        <v>ELEVATE PROFESSIONALITA'</v>
      </c>
      <c r="B21" s="201" t="str">
        <f>'t1'!B21</f>
        <v>0EP981</v>
      </c>
      <c r="C21" s="212"/>
      <c r="D21" s="213"/>
      <c r="E21" s="212"/>
      <c r="F21" s="213"/>
      <c r="G21" s="212"/>
      <c r="H21" s="213"/>
      <c r="I21" s="212"/>
      <c r="J21" s="213"/>
      <c r="K21" s="212"/>
      <c r="L21" s="213"/>
      <c r="M21" s="214"/>
      <c r="N21" s="215"/>
      <c r="O21" s="212"/>
      <c r="P21" s="213"/>
      <c r="Q21" s="212"/>
      <c r="R21" s="213"/>
      <c r="S21" s="216"/>
      <c r="T21" s="218"/>
      <c r="U21" s="216"/>
      <c r="V21" s="218"/>
      <c r="W21" s="404">
        <f t="shared" ref="W21:X25" si="2">SUM(C21,E21,G21,I21,K21,M21,O21,Q21,S21,U21)</f>
        <v>0</v>
      </c>
      <c r="X21" s="406">
        <f t="shared" si="2"/>
        <v>0</v>
      </c>
      <c r="Y21" s="711">
        <f>'t1'!M21</f>
        <v>0</v>
      </c>
    </row>
    <row r="22" spans="1:25" ht="12.75" customHeight="1" x14ac:dyDescent="0.2">
      <c r="A22" s="135" t="str">
        <f>'t1'!A22</f>
        <v>FUNZIONARI</v>
      </c>
      <c r="B22" s="201" t="str">
        <f>'t1'!B22</f>
        <v>0FZ000</v>
      </c>
      <c r="C22" s="212"/>
      <c r="D22" s="213"/>
      <c r="E22" s="212"/>
      <c r="F22" s="213"/>
      <c r="G22" s="212"/>
      <c r="H22" s="213"/>
      <c r="I22" s="212"/>
      <c r="J22" s="213"/>
      <c r="K22" s="212"/>
      <c r="L22" s="213"/>
      <c r="M22" s="214"/>
      <c r="N22" s="215"/>
      <c r="O22" s="212"/>
      <c r="P22" s="213"/>
      <c r="Q22" s="212"/>
      <c r="R22" s="213"/>
      <c r="S22" s="216"/>
      <c r="T22" s="218"/>
      <c r="U22" s="216"/>
      <c r="V22" s="218"/>
      <c r="W22" s="404">
        <f t="shared" si="2"/>
        <v>0</v>
      </c>
      <c r="X22" s="406">
        <f t="shared" si="2"/>
        <v>0</v>
      </c>
      <c r="Y22" s="711">
        <f>'t1'!M22</f>
        <v>0</v>
      </c>
    </row>
    <row r="23" spans="1:25" ht="12.75" customHeight="1" x14ac:dyDescent="0.2">
      <c r="A23" s="135" t="str">
        <f>'t1'!A23</f>
        <v>ASSISTENTI</v>
      </c>
      <c r="B23" s="201" t="str">
        <f>'t1'!B23</f>
        <v>0AS000</v>
      </c>
      <c r="C23" s="212"/>
      <c r="D23" s="213"/>
      <c r="E23" s="212"/>
      <c r="F23" s="213"/>
      <c r="G23" s="212"/>
      <c r="H23" s="213"/>
      <c r="I23" s="212"/>
      <c r="J23" s="213"/>
      <c r="K23" s="212"/>
      <c r="L23" s="213"/>
      <c r="M23" s="214"/>
      <c r="N23" s="215"/>
      <c r="O23" s="212"/>
      <c r="P23" s="213"/>
      <c r="Q23" s="212"/>
      <c r="R23" s="213"/>
      <c r="S23" s="216"/>
      <c r="T23" s="218"/>
      <c r="U23" s="216"/>
      <c r="V23" s="218"/>
      <c r="W23" s="404">
        <f t="shared" si="2"/>
        <v>0</v>
      </c>
      <c r="X23" s="406">
        <f t="shared" si="2"/>
        <v>0</v>
      </c>
      <c r="Y23" s="711">
        <f>'t1'!M23</f>
        <v>0</v>
      </c>
    </row>
    <row r="24" spans="1:25" ht="12.75" customHeight="1" x14ac:dyDescent="0.2">
      <c r="A24" s="135" t="str">
        <f>'t1'!A24</f>
        <v>OPERATORI</v>
      </c>
      <c r="B24" s="201" t="str">
        <f>'t1'!B24</f>
        <v>0OP000</v>
      </c>
      <c r="C24" s="212"/>
      <c r="D24" s="213"/>
      <c r="E24" s="212"/>
      <c r="F24" s="213"/>
      <c r="G24" s="212"/>
      <c r="H24" s="213"/>
      <c r="I24" s="212"/>
      <c r="J24" s="213"/>
      <c r="K24" s="212"/>
      <c r="L24" s="213"/>
      <c r="M24" s="214"/>
      <c r="N24" s="215"/>
      <c r="O24" s="212"/>
      <c r="P24" s="213"/>
      <c r="Q24" s="212"/>
      <c r="R24" s="213"/>
      <c r="S24" s="216"/>
      <c r="T24" s="218"/>
      <c r="U24" s="216"/>
      <c r="V24" s="218"/>
      <c r="W24" s="404">
        <f t="shared" si="2"/>
        <v>0</v>
      </c>
      <c r="X24" s="406">
        <f t="shared" si="2"/>
        <v>0</v>
      </c>
      <c r="Y24" s="711">
        <f>'t1'!M24</f>
        <v>0</v>
      </c>
    </row>
    <row r="25" spans="1:25" ht="12.75" customHeight="1" thickBot="1" x14ac:dyDescent="0.25">
      <c r="A25" s="135" t="str">
        <f>'t1'!A25</f>
        <v>CONTRATTISTI</v>
      </c>
      <c r="B25" s="201" t="str">
        <f>'t1'!B25</f>
        <v>000061</v>
      </c>
      <c r="C25" s="212"/>
      <c r="D25" s="213"/>
      <c r="E25" s="212"/>
      <c r="F25" s="213"/>
      <c r="G25" s="212"/>
      <c r="H25" s="213"/>
      <c r="I25" s="212"/>
      <c r="J25" s="213"/>
      <c r="K25" s="212"/>
      <c r="L25" s="213"/>
      <c r="M25" s="214"/>
      <c r="N25" s="215"/>
      <c r="O25" s="212"/>
      <c r="P25" s="213"/>
      <c r="Q25" s="212"/>
      <c r="R25" s="213"/>
      <c r="S25" s="216"/>
      <c r="T25" s="218"/>
      <c r="U25" s="216"/>
      <c r="V25" s="218"/>
      <c r="W25" s="404">
        <f t="shared" si="2"/>
        <v>0</v>
      </c>
      <c r="X25" s="406">
        <f t="shared" si="2"/>
        <v>0</v>
      </c>
      <c r="Y25" s="711">
        <f>'t1'!M25</f>
        <v>0</v>
      </c>
    </row>
    <row r="26" spans="1:25" ht="17.25" customHeight="1" thickTop="1" thickBot="1" x14ac:dyDescent="0.25">
      <c r="A26" s="65" t="s">
        <v>60</v>
      </c>
      <c r="B26" s="66"/>
      <c r="C26" s="401">
        <f t="shared" ref="C26:X26" si="3">SUM(C6:C25)</f>
        <v>0</v>
      </c>
      <c r="D26" s="402">
        <f t="shared" si="3"/>
        <v>0</v>
      </c>
      <c r="E26" s="401">
        <f t="shared" si="3"/>
        <v>0</v>
      </c>
      <c r="F26" s="402">
        <f t="shared" si="3"/>
        <v>0</v>
      </c>
      <c r="G26" s="401">
        <f t="shared" si="3"/>
        <v>0</v>
      </c>
      <c r="H26" s="402">
        <f t="shared" si="3"/>
        <v>0</v>
      </c>
      <c r="I26" s="401">
        <f t="shared" si="3"/>
        <v>0</v>
      </c>
      <c r="J26" s="402">
        <f t="shared" si="3"/>
        <v>0</v>
      </c>
      <c r="K26" s="401">
        <f t="shared" si="3"/>
        <v>0</v>
      </c>
      <c r="L26" s="402">
        <f t="shared" si="3"/>
        <v>0</v>
      </c>
      <c r="M26" s="401">
        <f t="shared" si="3"/>
        <v>0</v>
      </c>
      <c r="N26" s="402">
        <f t="shared" si="3"/>
        <v>0</v>
      </c>
      <c r="O26" s="401">
        <f t="shared" si="3"/>
        <v>0</v>
      </c>
      <c r="P26" s="402">
        <f t="shared" si="3"/>
        <v>0</v>
      </c>
      <c r="Q26" s="401">
        <f t="shared" si="3"/>
        <v>0</v>
      </c>
      <c r="R26" s="402">
        <f t="shared" si="3"/>
        <v>0</v>
      </c>
      <c r="S26" s="401">
        <f t="shared" si="3"/>
        <v>0</v>
      </c>
      <c r="T26" s="402">
        <f t="shared" si="3"/>
        <v>0</v>
      </c>
      <c r="U26" s="401">
        <f t="shared" si="3"/>
        <v>0</v>
      </c>
      <c r="V26" s="402">
        <f t="shared" si="3"/>
        <v>0</v>
      </c>
      <c r="W26" s="401">
        <f t="shared" si="3"/>
        <v>0</v>
      </c>
      <c r="X26" s="403">
        <f t="shared" si="3"/>
        <v>0</v>
      </c>
      <c r="Y26" s="711"/>
    </row>
    <row r="27" spans="1:25" s="36" customFormat="1" ht="19.5" customHeight="1" x14ac:dyDescent="0.2">
      <c r="A27" s="18" t="str">
        <f>'t1'!$A$27</f>
        <v>(a) personale a tempo indeterminato al quale viene applicato un contratto di lavoro di tipo privatistico (es.:tipografico,chimico,edile,metalmeccanico,portierato, ecc.)</v>
      </c>
      <c r="B27" s="2"/>
      <c r="C27" s="3"/>
      <c r="D27" s="3"/>
      <c r="E27" s="3"/>
      <c r="F27" s="3"/>
      <c r="G27" s="3"/>
      <c r="H27" s="3"/>
      <c r="I27" s="3"/>
      <c r="J27" s="3"/>
      <c r="K27" s="69"/>
      <c r="Y27" s="711"/>
    </row>
    <row r="28" spans="1:25" s="3" customFormat="1" x14ac:dyDescent="0.2">
      <c r="A28" s="18"/>
      <c r="B28" s="2"/>
    </row>
  </sheetData>
  <sheetProtection algorithmName="SHA-512" hashValue="QVJQ0eNsPByiY3STpHP+qXRcoQUkdfuH2sT1HhGojgKoQ748yukbcfwy6UP8HKbJoNW9ByGhk8nfDovRyQCBCg==" saltValue="ry4vNltXpys6c4kgpTB9gg==" spinCount="100000" sheet="1" formatColumns="0" selectLockedCells="1"/>
  <mergeCells count="12">
    <mergeCell ref="A1:V1"/>
    <mergeCell ref="C4:D4"/>
    <mergeCell ref="E4:F4"/>
    <mergeCell ref="G4:H4"/>
    <mergeCell ref="I4:J4"/>
    <mergeCell ref="P2:X2"/>
    <mergeCell ref="U4:V4"/>
    <mergeCell ref="K4:L4"/>
    <mergeCell ref="S4:T4"/>
    <mergeCell ref="M4:N4"/>
    <mergeCell ref="O4:P4"/>
    <mergeCell ref="Q4:R4"/>
  </mergeCells>
  <phoneticPr fontId="30" type="noConversion"/>
  <conditionalFormatting sqref="A6:X25">
    <cfRule type="expression" dxfId="41" priority="1" stopIfTrue="1">
      <formula>$Y6&gt;0</formula>
    </cfRule>
  </conditionalFormatting>
  <printOptions horizontalCentered="1" verticalCentered="1"/>
  <pageMargins left="0" right="0" top="0.19685039370078741" bottom="0.15748031496062992" header="0.19685039370078741" footer="0.19685039370078741"/>
  <pageSetup paperSize="9" scale="7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oglio15"/>
  <dimension ref="A1:AC29"/>
  <sheetViews>
    <sheetView showGridLines="0" zoomScale="85" workbookViewId="0">
      <pane xSplit="2" ySplit="5" topLeftCell="C6" activePane="bottomRight" state="frozen"/>
      <selection activeCell="C4" sqref="C4:C6"/>
      <selection pane="topRight" activeCell="C4" sqref="C4:C6"/>
      <selection pane="bottomLeft" activeCell="C4" sqref="C4:C6"/>
      <selection pane="bottomRight" activeCell="C6" sqref="C6"/>
    </sheetView>
  </sheetViews>
  <sheetFormatPr defaultColWidth="10.7109375" defaultRowHeight="10.199999999999999" x14ac:dyDescent="0.2"/>
  <cols>
    <col min="1" max="1" width="46.7109375" style="36" customWidth="1"/>
    <col min="2" max="2" width="8.140625" style="38" bestFit="1" customWidth="1"/>
    <col min="3" max="4" width="6.7109375" style="36" customWidth="1"/>
    <col min="5" max="24" width="8" style="36" customWidth="1"/>
    <col min="25" max="26" width="6.42578125" style="36" customWidth="1"/>
    <col min="27" max="28" width="8.140625" style="36" customWidth="1"/>
    <col min="29" max="29" width="0" style="36" hidden="1" customWidth="1"/>
    <col min="30" max="16384" width="10.7109375" style="36"/>
  </cols>
  <sheetData>
    <row r="1" spans="1:29" s="3" customFormat="1" ht="43.5" customHeight="1" x14ac:dyDescent="0.2">
      <c r="A1" s="1463" t="str">
        <f>'t1'!A1</f>
        <v>ENTI PUBBLICI NON ECONOMICI - anno 2023</v>
      </c>
      <c r="B1" s="1463"/>
      <c r="C1" s="1463"/>
      <c r="D1" s="1463"/>
      <c r="E1" s="1463"/>
      <c r="F1" s="1463"/>
      <c r="G1" s="1463"/>
      <c r="H1" s="1463"/>
      <c r="I1" s="1463"/>
      <c r="J1" s="1463"/>
      <c r="K1" s="1463"/>
      <c r="L1" s="1463"/>
      <c r="M1" s="1463"/>
      <c r="N1" s="1463"/>
      <c r="O1" s="1463"/>
      <c r="P1" s="1463"/>
      <c r="Q1" s="1463"/>
      <c r="R1" s="1463"/>
      <c r="S1" s="1463"/>
      <c r="T1" s="1463"/>
      <c r="U1" s="1463"/>
      <c r="V1" s="1463"/>
      <c r="W1" s="1463"/>
      <c r="X1" s="1463"/>
      <c r="Y1" s="1463"/>
      <c r="AB1" s="286"/>
    </row>
    <row r="2" spans="1:29" ht="30" customHeight="1" thickBot="1" x14ac:dyDescent="0.25">
      <c r="A2" s="37"/>
      <c r="S2" s="1499"/>
      <c r="T2" s="1499"/>
      <c r="U2" s="1499"/>
      <c r="V2" s="1499"/>
      <c r="W2" s="1499"/>
      <c r="X2" s="1499"/>
      <c r="Y2" s="1499"/>
      <c r="Z2" s="1499"/>
      <c r="AA2" s="1499"/>
      <c r="AB2" s="1499"/>
    </row>
    <row r="3" spans="1:29" ht="16.5" customHeight="1" thickBot="1" x14ac:dyDescent="0.25">
      <c r="A3" s="39"/>
      <c r="B3" s="40"/>
      <c r="C3" s="41" t="s">
        <v>236</v>
      </c>
      <c r="D3" s="42"/>
      <c r="E3" s="42"/>
      <c r="F3" s="42"/>
      <c r="G3" s="42"/>
      <c r="H3" s="42"/>
      <c r="I3" s="42"/>
      <c r="J3" s="42"/>
      <c r="K3" s="42"/>
      <c r="L3" s="42"/>
      <c r="M3" s="42"/>
      <c r="N3" s="42"/>
      <c r="O3" s="42"/>
      <c r="P3" s="42"/>
      <c r="Q3" s="42"/>
      <c r="R3" s="42"/>
      <c r="S3" s="42"/>
      <c r="T3" s="42"/>
      <c r="U3" s="42"/>
      <c r="V3" s="42"/>
      <c r="W3" s="42"/>
      <c r="X3" s="43"/>
      <c r="Y3" s="42"/>
      <c r="Z3" s="43"/>
      <c r="AA3" s="42"/>
      <c r="AB3" s="43"/>
    </row>
    <row r="4" spans="1:29" ht="16.5" customHeight="1" thickTop="1" x14ac:dyDescent="0.2">
      <c r="A4" s="256" t="s">
        <v>130</v>
      </c>
      <c r="B4" s="44" t="s">
        <v>57</v>
      </c>
      <c r="C4" s="1532" t="s">
        <v>162</v>
      </c>
      <c r="D4" s="1534"/>
      <c r="E4" s="145" t="s">
        <v>163</v>
      </c>
      <c r="F4" s="144"/>
      <c r="G4" s="1532" t="s">
        <v>67</v>
      </c>
      <c r="H4" s="1534"/>
      <c r="I4" s="1532" t="s">
        <v>68</v>
      </c>
      <c r="J4" s="1534"/>
      <c r="K4" s="1532" t="s">
        <v>69</v>
      </c>
      <c r="L4" s="1534"/>
      <c r="M4" s="1532" t="s">
        <v>70</v>
      </c>
      <c r="N4" s="1534"/>
      <c r="O4" s="1532" t="s">
        <v>71</v>
      </c>
      <c r="P4" s="1534"/>
      <c r="Q4" s="1532" t="s">
        <v>72</v>
      </c>
      <c r="R4" s="1534"/>
      <c r="S4" s="1532" t="s">
        <v>73</v>
      </c>
      <c r="T4" s="1534"/>
      <c r="U4" s="1532" t="s">
        <v>74</v>
      </c>
      <c r="V4" s="1534"/>
      <c r="W4" s="1532" t="s">
        <v>370</v>
      </c>
      <c r="X4" s="1534"/>
      <c r="Y4" s="1532" t="s">
        <v>371</v>
      </c>
      <c r="Z4" s="1533"/>
      <c r="AA4" s="1532" t="s">
        <v>60</v>
      </c>
      <c r="AB4" s="1533"/>
    </row>
    <row r="5" spans="1:29" ht="10.8" thickBot="1" x14ac:dyDescent="0.25">
      <c r="A5" s="717" t="s">
        <v>609</v>
      </c>
      <c r="B5" s="45"/>
      <c r="C5" s="46" t="s">
        <v>75</v>
      </c>
      <c r="D5" s="47" t="s">
        <v>76</v>
      </c>
      <c r="E5" s="46" t="s">
        <v>75</v>
      </c>
      <c r="F5" s="47" t="s">
        <v>76</v>
      </c>
      <c r="G5" s="46" t="s">
        <v>75</v>
      </c>
      <c r="H5" s="47" t="s">
        <v>76</v>
      </c>
      <c r="I5" s="46" t="s">
        <v>75</v>
      </c>
      <c r="J5" s="47" t="s">
        <v>76</v>
      </c>
      <c r="K5" s="46" t="s">
        <v>75</v>
      </c>
      <c r="L5" s="47" t="s">
        <v>76</v>
      </c>
      <c r="M5" s="46" t="s">
        <v>75</v>
      </c>
      <c r="N5" s="47" t="s">
        <v>76</v>
      </c>
      <c r="O5" s="46" t="s">
        <v>75</v>
      </c>
      <c r="P5" s="47" t="s">
        <v>76</v>
      </c>
      <c r="Q5" s="46" t="s">
        <v>75</v>
      </c>
      <c r="R5" s="47" t="s">
        <v>76</v>
      </c>
      <c r="S5" s="46" t="s">
        <v>75</v>
      </c>
      <c r="T5" s="47" t="s">
        <v>76</v>
      </c>
      <c r="U5" s="46" t="s">
        <v>75</v>
      </c>
      <c r="V5" s="47" t="s">
        <v>76</v>
      </c>
      <c r="W5" s="46" t="s">
        <v>75</v>
      </c>
      <c r="X5" s="48" t="s">
        <v>76</v>
      </c>
      <c r="Y5" s="46" t="s">
        <v>75</v>
      </c>
      <c r="Z5" s="48" t="s">
        <v>76</v>
      </c>
      <c r="AA5" s="46" t="s">
        <v>75</v>
      </c>
      <c r="AB5" s="48" t="s">
        <v>76</v>
      </c>
    </row>
    <row r="6" spans="1:29" ht="13.5" customHeight="1" thickTop="1" x14ac:dyDescent="0.2">
      <c r="A6" s="17" t="str">
        <f>'t1'!A6</f>
        <v>DIRETTORE GENERALE</v>
      </c>
      <c r="B6" s="208" t="str">
        <f>'t1'!B6</f>
        <v>0D0097</v>
      </c>
      <c r="C6" s="233"/>
      <c r="D6" s="234"/>
      <c r="E6" s="235"/>
      <c r="F6" s="234"/>
      <c r="G6" s="233"/>
      <c r="H6" s="234"/>
      <c r="I6" s="233"/>
      <c r="J6" s="234"/>
      <c r="K6" s="233"/>
      <c r="L6" s="234"/>
      <c r="M6" s="233"/>
      <c r="N6" s="234"/>
      <c r="O6" s="235"/>
      <c r="P6" s="236"/>
      <c r="Q6" s="233"/>
      <c r="R6" s="234"/>
      <c r="S6" s="233"/>
      <c r="T6" s="234"/>
      <c r="U6" s="233"/>
      <c r="V6" s="234"/>
      <c r="W6" s="237"/>
      <c r="X6" s="238"/>
      <c r="Y6" s="237"/>
      <c r="Z6" s="238"/>
      <c r="AA6" s="407">
        <f>SUM(C6,E6,G6,I6,K6,M6,O6,Q6,S6,U6,W6,Y6)</f>
        <v>0</v>
      </c>
      <c r="AB6" s="408">
        <f>SUM(D6,F6,H6,J6,L6,N6,P6,R6,T6,V6,X6,Z6)</f>
        <v>0</v>
      </c>
      <c r="AC6" s="712">
        <f>'t1'!M6</f>
        <v>0</v>
      </c>
    </row>
    <row r="7" spans="1:29" ht="14.1" customHeight="1" x14ac:dyDescent="0.2">
      <c r="A7" s="135" t="str">
        <f>'t1'!A7</f>
        <v>DIRIGENTE I FASCIA</v>
      </c>
      <c r="B7" s="201" t="str">
        <f>'t1'!B7</f>
        <v>0D0077</v>
      </c>
      <c r="C7" s="233"/>
      <c r="D7" s="234"/>
      <c r="E7" s="235"/>
      <c r="F7" s="234"/>
      <c r="G7" s="233"/>
      <c r="H7" s="234"/>
      <c r="I7" s="233"/>
      <c r="J7" s="234"/>
      <c r="K7" s="233"/>
      <c r="L7" s="234"/>
      <c r="M7" s="233"/>
      <c r="N7" s="234"/>
      <c r="O7" s="235"/>
      <c r="P7" s="236"/>
      <c r="Q7" s="233"/>
      <c r="R7" s="234"/>
      <c r="S7" s="233"/>
      <c r="T7" s="234"/>
      <c r="U7" s="233"/>
      <c r="V7" s="234"/>
      <c r="W7" s="237"/>
      <c r="X7" s="234"/>
      <c r="Y7" s="237"/>
      <c r="Z7" s="234"/>
      <c r="AA7" s="409">
        <f t="shared" ref="AA7:AA20" si="0">SUM(C7,E7,G7,I7,K7,M7,O7,Q7,S7,U7,W7,Y7)</f>
        <v>0</v>
      </c>
      <c r="AB7" s="410">
        <f t="shared" ref="AB7:AB20" si="1">SUM(D7,F7,H7,J7,L7,N7,P7,R7,T7,V7,X7,Z7)</f>
        <v>0</v>
      </c>
      <c r="AC7" s="712">
        <f>'t1'!M7</f>
        <v>0</v>
      </c>
    </row>
    <row r="8" spans="1:29" ht="14.1" customHeight="1" x14ac:dyDescent="0.2">
      <c r="A8" s="135" t="str">
        <f>'t1'!A8</f>
        <v>DIRIGENTE I FASCIA A TEMPO DETERM.</v>
      </c>
      <c r="B8" s="201" t="str">
        <f>'t1'!B8</f>
        <v>0D0078</v>
      </c>
      <c r="C8" s="233"/>
      <c r="D8" s="234"/>
      <c r="E8" s="235"/>
      <c r="F8" s="234"/>
      <c r="G8" s="233"/>
      <c r="H8" s="234"/>
      <c r="I8" s="233"/>
      <c r="J8" s="234"/>
      <c r="K8" s="233"/>
      <c r="L8" s="234"/>
      <c r="M8" s="233"/>
      <c r="N8" s="234"/>
      <c r="O8" s="235"/>
      <c r="P8" s="236"/>
      <c r="Q8" s="233"/>
      <c r="R8" s="234"/>
      <c r="S8" s="233"/>
      <c r="T8" s="234"/>
      <c r="U8" s="233"/>
      <c r="V8" s="234"/>
      <c r="W8" s="237"/>
      <c r="X8" s="234"/>
      <c r="Y8" s="237"/>
      <c r="Z8" s="234"/>
      <c r="AA8" s="409">
        <f t="shared" si="0"/>
        <v>0</v>
      </c>
      <c r="AB8" s="410">
        <f t="shared" si="1"/>
        <v>0</v>
      </c>
      <c r="AC8" s="712">
        <f>'t1'!M8</f>
        <v>0</v>
      </c>
    </row>
    <row r="9" spans="1:29" ht="14.1" customHeight="1" x14ac:dyDescent="0.2">
      <c r="A9" s="135" t="str">
        <f>'t1'!A9</f>
        <v>DIRIGENTE II FASCIA</v>
      </c>
      <c r="B9" s="201" t="str">
        <f>'t1'!B9</f>
        <v>0D0079</v>
      </c>
      <c r="C9" s="233"/>
      <c r="D9" s="234"/>
      <c r="E9" s="235"/>
      <c r="F9" s="234"/>
      <c r="G9" s="233"/>
      <c r="H9" s="234"/>
      <c r="I9" s="233"/>
      <c r="J9" s="234"/>
      <c r="K9" s="233"/>
      <c r="L9" s="234"/>
      <c r="M9" s="233"/>
      <c r="N9" s="234"/>
      <c r="O9" s="235"/>
      <c r="P9" s="236"/>
      <c r="Q9" s="233"/>
      <c r="R9" s="234"/>
      <c r="S9" s="233"/>
      <c r="T9" s="234"/>
      <c r="U9" s="233"/>
      <c r="V9" s="234"/>
      <c r="W9" s="237"/>
      <c r="X9" s="234"/>
      <c r="Y9" s="237"/>
      <c r="Z9" s="234"/>
      <c r="AA9" s="409">
        <f t="shared" si="0"/>
        <v>0</v>
      </c>
      <c r="AB9" s="410">
        <f t="shared" si="1"/>
        <v>0</v>
      </c>
      <c r="AC9" s="712">
        <f>'t1'!M9</f>
        <v>0</v>
      </c>
    </row>
    <row r="10" spans="1:29" ht="14.1" customHeight="1" x14ac:dyDescent="0.2">
      <c r="A10" s="135" t="str">
        <f>'t1'!A10</f>
        <v>DIRIGENTE II FASCIA A TEMPO DETERM.</v>
      </c>
      <c r="B10" s="201" t="str">
        <f>'t1'!B10</f>
        <v>0D0080</v>
      </c>
      <c r="C10" s="233"/>
      <c r="D10" s="234"/>
      <c r="E10" s="235"/>
      <c r="F10" s="234"/>
      <c r="G10" s="233"/>
      <c r="H10" s="234"/>
      <c r="I10" s="233"/>
      <c r="J10" s="234"/>
      <c r="K10" s="233"/>
      <c r="L10" s="234"/>
      <c r="M10" s="233"/>
      <c r="N10" s="234"/>
      <c r="O10" s="235"/>
      <c r="P10" s="236"/>
      <c r="Q10" s="233"/>
      <c r="R10" s="234"/>
      <c r="S10" s="233"/>
      <c r="T10" s="234"/>
      <c r="U10" s="233"/>
      <c r="V10" s="234"/>
      <c r="W10" s="237"/>
      <c r="X10" s="234"/>
      <c r="Y10" s="237"/>
      <c r="Z10" s="234"/>
      <c r="AA10" s="409">
        <f t="shared" si="0"/>
        <v>0</v>
      </c>
      <c r="AB10" s="410">
        <f t="shared" si="1"/>
        <v>0</v>
      </c>
      <c r="AC10" s="712">
        <f>'t1'!M10</f>
        <v>0</v>
      </c>
    </row>
    <row r="11" spans="1:29" ht="14.1" customHeight="1" x14ac:dyDescent="0.2">
      <c r="A11" s="135" t="str">
        <f>'t1'!A11</f>
        <v>MEDICO II FASCIA T.P.</v>
      </c>
      <c r="B11" s="201" t="str">
        <f>'t1'!B11</f>
        <v>0D0584</v>
      </c>
      <c r="C11" s="233"/>
      <c r="D11" s="234"/>
      <c r="E11" s="235"/>
      <c r="F11" s="234"/>
      <c r="G11" s="233"/>
      <c r="H11" s="234"/>
      <c r="I11" s="233"/>
      <c r="J11" s="234"/>
      <c r="K11" s="233"/>
      <c r="L11" s="234"/>
      <c r="M11" s="233"/>
      <c r="N11" s="234"/>
      <c r="O11" s="235"/>
      <c r="P11" s="236"/>
      <c r="Q11" s="233"/>
      <c r="R11" s="234"/>
      <c r="S11" s="233"/>
      <c r="T11" s="234"/>
      <c r="U11" s="233"/>
      <c r="V11" s="234"/>
      <c r="W11" s="237"/>
      <c r="X11" s="234"/>
      <c r="Y11" s="237"/>
      <c r="Z11" s="234"/>
      <c r="AA11" s="409">
        <f t="shared" si="0"/>
        <v>0</v>
      </c>
      <c r="AB11" s="410">
        <f t="shared" si="1"/>
        <v>0</v>
      </c>
      <c r="AC11" s="712">
        <f>'t1'!M11</f>
        <v>0</v>
      </c>
    </row>
    <row r="12" spans="1:29" ht="14.1" customHeight="1" x14ac:dyDescent="0.2">
      <c r="A12" s="135" t="str">
        <f>'t1'!A12</f>
        <v>MEDICO I FASCIA T.P.</v>
      </c>
      <c r="B12" s="201" t="str">
        <f>'t1'!B12</f>
        <v>0D0585</v>
      </c>
      <c r="C12" s="233"/>
      <c r="D12" s="234"/>
      <c r="E12" s="235"/>
      <c r="F12" s="234"/>
      <c r="G12" s="233"/>
      <c r="H12" s="234"/>
      <c r="I12" s="233"/>
      <c r="J12" s="234"/>
      <c r="K12" s="233"/>
      <c r="L12" s="234"/>
      <c r="M12" s="233"/>
      <c r="N12" s="234"/>
      <c r="O12" s="235"/>
      <c r="P12" s="236"/>
      <c r="Q12" s="233"/>
      <c r="R12" s="234"/>
      <c r="S12" s="233"/>
      <c r="T12" s="234"/>
      <c r="U12" s="233"/>
      <c r="V12" s="234"/>
      <c r="W12" s="237"/>
      <c r="X12" s="234"/>
      <c r="Y12" s="237"/>
      <c r="Z12" s="234"/>
      <c r="AA12" s="409">
        <f t="shared" si="0"/>
        <v>0</v>
      </c>
      <c r="AB12" s="410">
        <f t="shared" si="1"/>
        <v>0</v>
      </c>
      <c r="AC12" s="712">
        <f>'t1'!M12</f>
        <v>0</v>
      </c>
    </row>
    <row r="13" spans="1:29" ht="14.1" customHeight="1" x14ac:dyDescent="0.2">
      <c r="A13" s="135" t="str">
        <f>'t1'!A13</f>
        <v>MEDICO II FASCIA T.D.</v>
      </c>
      <c r="B13" s="201" t="str">
        <f>'t1'!B13</f>
        <v>0D0586</v>
      </c>
      <c r="C13" s="233"/>
      <c r="D13" s="234"/>
      <c r="E13" s="235"/>
      <c r="F13" s="234"/>
      <c r="G13" s="233"/>
      <c r="H13" s="234"/>
      <c r="I13" s="233"/>
      <c r="J13" s="234"/>
      <c r="K13" s="233"/>
      <c r="L13" s="234"/>
      <c r="M13" s="233"/>
      <c r="N13" s="234"/>
      <c r="O13" s="235"/>
      <c r="P13" s="236"/>
      <c r="Q13" s="233"/>
      <c r="R13" s="234"/>
      <c r="S13" s="233"/>
      <c r="T13" s="234"/>
      <c r="U13" s="233"/>
      <c r="V13" s="234"/>
      <c r="W13" s="237"/>
      <c r="X13" s="234"/>
      <c r="Y13" s="237"/>
      <c r="Z13" s="234"/>
      <c r="AA13" s="409">
        <f t="shared" si="0"/>
        <v>0</v>
      </c>
      <c r="AB13" s="410">
        <f t="shared" si="1"/>
        <v>0</v>
      </c>
      <c r="AC13" s="712">
        <f>'t1'!M13</f>
        <v>0</v>
      </c>
    </row>
    <row r="14" spans="1:29" ht="14.1" customHeight="1" x14ac:dyDescent="0.2">
      <c r="A14" s="135" t="str">
        <f>'t1'!A14</f>
        <v>MEDICO I FASCIA T.D.</v>
      </c>
      <c r="B14" s="201" t="str">
        <f>'t1'!B14</f>
        <v>0D0496</v>
      </c>
      <c r="C14" s="233"/>
      <c r="D14" s="234"/>
      <c r="E14" s="235"/>
      <c r="F14" s="234"/>
      <c r="G14" s="233"/>
      <c r="H14" s="234"/>
      <c r="I14" s="233"/>
      <c r="J14" s="234"/>
      <c r="K14" s="233"/>
      <c r="L14" s="234"/>
      <c r="M14" s="233"/>
      <c r="N14" s="234"/>
      <c r="O14" s="235"/>
      <c r="P14" s="236"/>
      <c r="Q14" s="233"/>
      <c r="R14" s="234"/>
      <c r="S14" s="233"/>
      <c r="T14" s="234"/>
      <c r="U14" s="233"/>
      <c r="V14" s="234"/>
      <c r="W14" s="237"/>
      <c r="X14" s="234"/>
      <c r="Y14" s="237"/>
      <c r="Z14" s="234"/>
      <c r="AA14" s="409">
        <f t="shared" si="0"/>
        <v>0</v>
      </c>
      <c r="AB14" s="410">
        <f t="shared" si="1"/>
        <v>0</v>
      </c>
      <c r="AC14" s="712">
        <f>'t1'!M14</f>
        <v>0</v>
      </c>
    </row>
    <row r="15" spans="1:29" ht="14.1" customHeight="1" x14ac:dyDescent="0.2">
      <c r="A15" s="135" t="str">
        <f>'t1'!A15</f>
        <v>PROF.STI LEGALI LIV. II DIFF.</v>
      </c>
      <c r="B15" s="201" t="str">
        <f>'t1'!B15</f>
        <v>0D0473</v>
      </c>
      <c r="C15" s="233"/>
      <c r="D15" s="234"/>
      <c r="E15" s="235"/>
      <c r="F15" s="234"/>
      <c r="G15" s="233"/>
      <c r="H15" s="234"/>
      <c r="I15" s="233"/>
      <c r="J15" s="234"/>
      <c r="K15" s="233"/>
      <c r="L15" s="234"/>
      <c r="M15" s="233"/>
      <c r="N15" s="234"/>
      <c r="O15" s="235"/>
      <c r="P15" s="236"/>
      <c r="Q15" s="233"/>
      <c r="R15" s="234"/>
      <c r="S15" s="233"/>
      <c r="T15" s="234"/>
      <c r="U15" s="233"/>
      <c r="V15" s="234"/>
      <c r="W15" s="237"/>
      <c r="X15" s="234"/>
      <c r="Y15" s="237"/>
      <c r="Z15" s="234"/>
      <c r="AA15" s="409">
        <f t="shared" si="0"/>
        <v>0</v>
      </c>
      <c r="AB15" s="410">
        <f t="shared" si="1"/>
        <v>0</v>
      </c>
      <c r="AC15" s="712">
        <f>'t1'!M15</f>
        <v>0</v>
      </c>
    </row>
    <row r="16" spans="1:29" ht="14.1" customHeight="1" x14ac:dyDescent="0.2">
      <c r="A16" s="135" t="str">
        <f>'t1'!A16</f>
        <v>PROF.STI LEGALI LIV. I DIFF.</v>
      </c>
      <c r="B16" s="201" t="str">
        <f>'t1'!B16</f>
        <v>0D0472</v>
      </c>
      <c r="C16" s="233"/>
      <c r="D16" s="234"/>
      <c r="E16" s="235"/>
      <c r="F16" s="234"/>
      <c r="G16" s="233"/>
      <c r="H16" s="234"/>
      <c r="I16" s="233"/>
      <c r="J16" s="234"/>
      <c r="K16" s="233"/>
      <c r="L16" s="234"/>
      <c r="M16" s="233"/>
      <c r="N16" s="234"/>
      <c r="O16" s="235"/>
      <c r="P16" s="236"/>
      <c r="Q16" s="233"/>
      <c r="R16" s="234"/>
      <c r="S16" s="233"/>
      <c r="T16" s="234"/>
      <c r="U16" s="233"/>
      <c r="V16" s="234"/>
      <c r="W16" s="237"/>
      <c r="X16" s="234"/>
      <c r="Y16" s="237"/>
      <c r="Z16" s="234"/>
      <c r="AA16" s="409">
        <f t="shared" si="0"/>
        <v>0</v>
      </c>
      <c r="AB16" s="410">
        <f t="shared" si="1"/>
        <v>0</v>
      </c>
      <c r="AC16" s="712">
        <f>'t1'!M16</f>
        <v>0</v>
      </c>
    </row>
    <row r="17" spans="1:29" ht="14.1" customHeight="1" x14ac:dyDescent="0.2">
      <c r="A17" s="135" t="str">
        <f>'t1'!A17</f>
        <v>PROF.STI LEGALI</v>
      </c>
      <c r="B17" s="201" t="str">
        <f>'t1'!B17</f>
        <v>0D0084</v>
      </c>
      <c r="C17" s="233"/>
      <c r="D17" s="234"/>
      <c r="E17" s="235"/>
      <c r="F17" s="234"/>
      <c r="G17" s="233"/>
      <c r="H17" s="234"/>
      <c r="I17" s="233"/>
      <c r="J17" s="234"/>
      <c r="K17" s="233"/>
      <c r="L17" s="234"/>
      <c r="M17" s="233"/>
      <c r="N17" s="234"/>
      <c r="O17" s="235"/>
      <c r="P17" s="236"/>
      <c r="Q17" s="233"/>
      <c r="R17" s="234"/>
      <c r="S17" s="233"/>
      <c r="T17" s="234"/>
      <c r="U17" s="233"/>
      <c r="V17" s="234"/>
      <c r="W17" s="237"/>
      <c r="X17" s="234"/>
      <c r="Y17" s="237"/>
      <c r="Z17" s="234"/>
      <c r="AA17" s="409">
        <f t="shared" si="0"/>
        <v>0</v>
      </c>
      <c r="AB17" s="410">
        <f t="shared" si="1"/>
        <v>0</v>
      </c>
      <c r="AC17" s="712">
        <f>'t1'!M17</f>
        <v>0</v>
      </c>
    </row>
    <row r="18" spans="1:29" ht="14.1" customHeight="1" x14ac:dyDescent="0.2">
      <c r="A18" s="135" t="str">
        <f>'t1'!A18</f>
        <v>ALTRI PROF.STI LIV. II DIFF.</v>
      </c>
      <c r="B18" s="201" t="str">
        <f>'t1'!B18</f>
        <v>0D0481</v>
      </c>
      <c r="C18" s="233"/>
      <c r="D18" s="234"/>
      <c r="E18" s="235"/>
      <c r="F18" s="234"/>
      <c r="G18" s="233"/>
      <c r="H18" s="234"/>
      <c r="I18" s="233"/>
      <c r="J18" s="234"/>
      <c r="K18" s="233"/>
      <c r="L18" s="234"/>
      <c r="M18" s="233"/>
      <c r="N18" s="234"/>
      <c r="O18" s="235"/>
      <c r="P18" s="236"/>
      <c r="Q18" s="233"/>
      <c r="R18" s="234"/>
      <c r="S18" s="233"/>
      <c r="T18" s="234"/>
      <c r="U18" s="233"/>
      <c r="V18" s="234"/>
      <c r="W18" s="237"/>
      <c r="X18" s="234"/>
      <c r="Y18" s="237"/>
      <c r="Z18" s="234"/>
      <c r="AA18" s="409">
        <f t="shared" si="0"/>
        <v>0</v>
      </c>
      <c r="AB18" s="410">
        <f t="shared" si="1"/>
        <v>0</v>
      </c>
      <c r="AC18" s="712">
        <f>'t1'!M18</f>
        <v>0</v>
      </c>
    </row>
    <row r="19" spans="1:29" ht="14.1" customHeight="1" x14ac:dyDescent="0.2">
      <c r="A19" s="135" t="str">
        <f>'t1'!A19</f>
        <v>ALTRI PROF.STI LIV. I DIFF.</v>
      </c>
      <c r="B19" s="201" t="str">
        <f>'t1'!B19</f>
        <v>0D0480</v>
      </c>
      <c r="C19" s="233"/>
      <c r="D19" s="234"/>
      <c r="E19" s="235"/>
      <c r="F19" s="234"/>
      <c r="G19" s="233"/>
      <c r="H19" s="234"/>
      <c r="I19" s="233"/>
      <c r="J19" s="234"/>
      <c r="K19" s="233"/>
      <c r="L19" s="234"/>
      <c r="M19" s="233"/>
      <c r="N19" s="234"/>
      <c r="O19" s="235"/>
      <c r="P19" s="236"/>
      <c r="Q19" s="233"/>
      <c r="R19" s="234"/>
      <c r="S19" s="233"/>
      <c r="T19" s="234"/>
      <c r="U19" s="233"/>
      <c r="V19" s="234"/>
      <c r="W19" s="237"/>
      <c r="X19" s="234"/>
      <c r="Y19" s="237"/>
      <c r="Z19" s="234"/>
      <c r="AA19" s="409">
        <f t="shared" si="0"/>
        <v>0</v>
      </c>
      <c r="AB19" s="410">
        <f t="shared" si="1"/>
        <v>0</v>
      </c>
      <c r="AC19" s="712">
        <f>'t1'!M19</f>
        <v>0</v>
      </c>
    </row>
    <row r="20" spans="1:29" ht="14.1" customHeight="1" x14ac:dyDescent="0.2">
      <c r="A20" s="135" t="str">
        <f>'t1'!A20</f>
        <v>ALTRI PROF.STI</v>
      </c>
      <c r="B20" s="201" t="str">
        <f>'t1'!B20</f>
        <v>0D0075</v>
      </c>
      <c r="C20" s="233"/>
      <c r="D20" s="234"/>
      <c r="E20" s="235"/>
      <c r="F20" s="234"/>
      <c r="G20" s="233"/>
      <c r="H20" s="234"/>
      <c r="I20" s="233"/>
      <c r="J20" s="234"/>
      <c r="K20" s="233"/>
      <c r="L20" s="234"/>
      <c r="M20" s="233"/>
      <c r="N20" s="234"/>
      <c r="O20" s="235"/>
      <c r="P20" s="236"/>
      <c r="Q20" s="233"/>
      <c r="R20" s="234"/>
      <c r="S20" s="233"/>
      <c r="T20" s="234"/>
      <c r="U20" s="233"/>
      <c r="V20" s="234"/>
      <c r="W20" s="237"/>
      <c r="X20" s="234"/>
      <c r="Y20" s="237"/>
      <c r="Z20" s="234"/>
      <c r="AA20" s="409">
        <f t="shared" si="0"/>
        <v>0</v>
      </c>
      <c r="AB20" s="410">
        <f t="shared" si="1"/>
        <v>0</v>
      </c>
      <c r="AC20" s="712">
        <f>'t1'!M20</f>
        <v>0</v>
      </c>
    </row>
    <row r="21" spans="1:29" ht="14.1" customHeight="1" x14ac:dyDescent="0.2">
      <c r="A21" s="135" t="str">
        <f>'t1'!A21</f>
        <v>ELEVATE PROFESSIONALITA'</v>
      </c>
      <c r="B21" s="201" t="str">
        <f>'t1'!B21</f>
        <v>0EP981</v>
      </c>
      <c r="C21" s="233"/>
      <c r="D21" s="234"/>
      <c r="E21" s="235"/>
      <c r="F21" s="234"/>
      <c r="G21" s="233"/>
      <c r="H21" s="234"/>
      <c r="I21" s="233"/>
      <c r="J21" s="234"/>
      <c r="K21" s="233"/>
      <c r="L21" s="234"/>
      <c r="M21" s="233"/>
      <c r="N21" s="234"/>
      <c r="O21" s="235"/>
      <c r="P21" s="236"/>
      <c r="Q21" s="233"/>
      <c r="R21" s="234"/>
      <c r="S21" s="233"/>
      <c r="T21" s="234"/>
      <c r="U21" s="233"/>
      <c r="V21" s="234"/>
      <c r="W21" s="237"/>
      <c r="X21" s="234"/>
      <c r="Y21" s="237"/>
      <c r="Z21" s="234"/>
      <c r="AA21" s="409">
        <f t="shared" ref="AA21:AB25" si="2">SUM(C21,E21,G21,I21,K21,M21,O21,Q21,S21,U21,W21,Y21)</f>
        <v>0</v>
      </c>
      <c r="AB21" s="410">
        <f t="shared" si="2"/>
        <v>0</v>
      </c>
      <c r="AC21" s="712">
        <f>'t1'!M21</f>
        <v>0</v>
      </c>
    </row>
    <row r="22" spans="1:29" ht="14.1" customHeight="1" x14ac:dyDescent="0.2">
      <c r="A22" s="135" t="str">
        <f>'t1'!A22</f>
        <v>FUNZIONARI</v>
      </c>
      <c r="B22" s="201" t="str">
        <f>'t1'!B22</f>
        <v>0FZ000</v>
      </c>
      <c r="C22" s="233"/>
      <c r="D22" s="234"/>
      <c r="E22" s="235"/>
      <c r="F22" s="234"/>
      <c r="G22" s="233"/>
      <c r="H22" s="234"/>
      <c r="I22" s="233"/>
      <c r="J22" s="234"/>
      <c r="K22" s="233"/>
      <c r="L22" s="234"/>
      <c r="M22" s="233"/>
      <c r="N22" s="234"/>
      <c r="O22" s="235"/>
      <c r="P22" s="236"/>
      <c r="Q22" s="233"/>
      <c r="R22" s="234"/>
      <c r="S22" s="233"/>
      <c r="T22" s="234"/>
      <c r="U22" s="233"/>
      <c r="V22" s="234"/>
      <c r="W22" s="237"/>
      <c r="X22" s="234"/>
      <c r="Y22" s="237"/>
      <c r="Z22" s="234"/>
      <c r="AA22" s="409">
        <f t="shared" si="2"/>
        <v>0</v>
      </c>
      <c r="AB22" s="410">
        <f t="shared" si="2"/>
        <v>0</v>
      </c>
      <c r="AC22" s="712">
        <f>'t1'!M22</f>
        <v>0</v>
      </c>
    </row>
    <row r="23" spans="1:29" ht="14.1" customHeight="1" x14ac:dyDescent="0.2">
      <c r="A23" s="135" t="str">
        <f>'t1'!A23</f>
        <v>ASSISTENTI</v>
      </c>
      <c r="B23" s="201" t="str">
        <f>'t1'!B23</f>
        <v>0AS000</v>
      </c>
      <c r="C23" s="233"/>
      <c r="D23" s="234"/>
      <c r="E23" s="235"/>
      <c r="F23" s="234"/>
      <c r="G23" s="233"/>
      <c r="H23" s="234"/>
      <c r="I23" s="233"/>
      <c r="J23" s="234"/>
      <c r="K23" s="233"/>
      <c r="L23" s="234"/>
      <c r="M23" s="233"/>
      <c r="N23" s="234"/>
      <c r="O23" s="235"/>
      <c r="P23" s="236"/>
      <c r="Q23" s="233"/>
      <c r="R23" s="234"/>
      <c r="S23" s="233"/>
      <c r="T23" s="234"/>
      <c r="U23" s="233"/>
      <c r="V23" s="234"/>
      <c r="W23" s="237"/>
      <c r="X23" s="234"/>
      <c r="Y23" s="237"/>
      <c r="Z23" s="234"/>
      <c r="AA23" s="409">
        <f t="shared" si="2"/>
        <v>0</v>
      </c>
      <c r="AB23" s="410">
        <f t="shared" si="2"/>
        <v>0</v>
      </c>
      <c r="AC23" s="712">
        <f>'t1'!M23</f>
        <v>0</v>
      </c>
    </row>
    <row r="24" spans="1:29" ht="14.1" customHeight="1" x14ac:dyDescent="0.2">
      <c r="A24" s="135" t="str">
        <f>'t1'!A24</f>
        <v>OPERATORI</v>
      </c>
      <c r="B24" s="201" t="str">
        <f>'t1'!B24</f>
        <v>0OP000</v>
      </c>
      <c r="C24" s="233"/>
      <c r="D24" s="234"/>
      <c r="E24" s="235"/>
      <c r="F24" s="234"/>
      <c r="G24" s="233"/>
      <c r="H24" s="234"/>
      <c r="I24" s="233"/>
      <c r="J24" s="234"/>
      <c r="K24" s="233"/>
      <c r="L24" s="234"/>
      <c r="M24" s="233"/>
      <c r="N24" s="234"/>
      <c r="O24" s="235"/>
      <c r="P24" s="236"/>
      <c r="Q24" s="233"/>
      <c r="R24" s="234"/>
      <c r="S24" s="233"/>
      <c r="T24" s="234"/>
      <c r="U24" s="233"/>
      <c r="V24" s="234"/>
      <c r="W24" s="237"/>
      <c r="X24" s="234"/>
      <c r="Y24" s="237"/>
      <c r="Z24" s="234"/>
      <c r="AA24" s="409">
        <f t="shared" si="2"/>
        <v>0</v>
      </c>
      <c r="AB24" s="410">
        <f t="shared" si="2"/>
        <v>0</v>
      </c>
      <c r="AC24" s="712">
        <f>'t1'!M24</f>
        <v>0</v>
      </c>
    </row>
    <row r="25" spans="1:29" ht="14.1" customHeight="1" thickBot="1" x14ac:dyDescent="0.25">
      <c r="A25" s="135" t="str">
        <f>'t1'!A25</f>
        <v>CONTRATTISTI</v>
      </c>
      <c r="B25" s="201" t="str">
        <f>'t1'!B25</f>
        <v>000061</v>
      </c>
      <c r="C25" s="233"/>
      <c r="D25" s="234"/>
      <c r="E25" s="235"/>
      <c r="F25" s="234"/>
      <c r="G25" s="233"/>
      <c r="H25" s="234"/>
      <c r="I25" s="233"/>
      <c r="J25" s="234"/>
      <c r="K25" s="233"/>
      <c r="L25" s="234"/>
      <c r="M25" s="233"/>
      <c r="N25" s="234"/>
      <c r="O25" s="235"/>
      <c r="P25" s="236"/>
      <c r="Q25" s="233"/>
      <c r="R25" s="234"/>
      <c r="S25" s="233"/>
      <c r="T25" s="234"/>
      <c r="U25" s="233"/>
      <c r="V25" s="234"/>
      <c r="W25" s="237"/>
      <c r="X25" s="234"/>
      <c r="Y25" s="237"/>
      <c r="Z25" s="234"/>
      <c r="AA25" s="409">
        <f t="shared" si="2"/>
        <v>0</v>
      </c>
      <c r="AB25" s="410">
        <f t="shared" si="2"/>
        <v>0</v>
      </c>
      <c r="AC25" s="712">
        <f>'t1'!M25</f>
        <v>0</v>
      </c>
    </row>
    <row r="26" spans="1:29" ht="16.5" customHeight="1" thickTop="1" thickBot="1" x14ac:dyDescent="0.25">
      <c r="A26" s="49" t="s">
        <v>60</v>
      </c>
      <c r="B26" s="50"/>
      <c r="C26" s="411">
        <f t="shared" ref="C26:AB26" si="3">SUM(C6:C25)</f>
        <v>0</v>
      </c>
      <c r="D26" s="413">
        <f t="shared" si="3"/>
        <v>0</v>
      </c>
      <c r="E26" s="411">
        <f t="shared" si="3"/>
        <v>0</v>
      </c>
      <c r="F26" s="413">
        <f t="shared" si="3"/>
        <v>0</v>
      </c>
      <c r="G26" s="411">
        <f t="shared" si="3"/>
        <v>0</v>
      </c>
      <c r="H26" s="413">
        <f t="shared" si="3"/>
        <v>0</v>
      </c>
      <c r="I26" s="411">
        <f t="shared" si="3"/>
        <v>0</v>
      </c>
      <c r="J26" s="413">
        <f t="shared" si="3"/>
        <v>0</v>
      </c>
      <c r="K26" s="411">
        <f t="shared" si="3"/>
        <v>0</v>
      </c>
      <c r="L26" s="413">
        <f t="shared" si="3"/>
        <v>0</v>
      </c>
      <c r="M26" s="411">
        <f t="shared" si="3"/>
        <v>0</v>
      </c>
      <c r="N26" s="413">
        <f t="shared" si="3"/>
        <v>0</v>
      </c>
      <c r="O26" s="411">
        <f t="shared" si="3"/>
        <v>0</v>
      </c>
      <c r="P26" s="413">
        <f t="shared" si="3"/>
        <v>0</v>
      </c>
      <c r="Q26" s="411">
        <f t="shared" si="3"/>
        <v>0</v>
      </c>
      <c r="R26" s="413">
        <f t="shared" si="3"/>
        <v>0</v>
      </c>
      <c r="S26" s="411">
        <f t="shared" si="3"/>
        <v>0</v>
      </c>
      <c r="T26" s="413">
        <f t="shared" si="3"/>
        <v>0</v>
      </c>
      <c r="U26" s="411">
        <f t="shared" si="3"/>
        <v>0</v>
      </c>
      <c r="V26" s="413">
        <f t="shared" si="3"/>
        <v>0</v>
      </c>
      <c r="W26" s="411">
        <f t="shared" si="3"/>
        <v>0</v>
      </c>
      <c r="X26" s="413">
        <f t="shared" si="3"/>
        <v>0</v>
      </c>
      <c r="Y26" s="411">
        <f t="shared" si="3"/>
        <v>0</v>
      </c>
      <c r="Z26" s="413">
        <f t="shared" si="3"/>
        <v>0</v>
      </c>
      <c r="AA26" s="411">
        <f t="shared" si="3"/>
        <v>0</v>
      </c>
      <c r="AB26" s="412">
        <f t="shared" si="3"/>
        <v>0</v>
      </c>
    </row>
    <row r="27" spans="1:29" ht="8.25" customHeight="1" x14ac:dyDescent="0.2">
      <c r="A27" s="137"/>
      <c r="C27" s="138"/>
      <c r="D27" s="138"/>
      <c r="E27" s="138"/>
      <c r="F27" s="138"/>
      <c r="G27" s="138"/>
      <c r="H27" s="138"/>
      <c r="I27" s="138"/>
      <c r="J27" s="138"/>
      <c r="K27" s="138"/>
      <c r="L27" s="138"/>
      <c r="M27" s="138"/>
      <c r="N27" s="138"/>
      <c r="O27" s="138"/>
      <c r="P27" s="138"/>
      <c r="Q27" s="138"/>
      <c r="R27" s="138"/>
      <c r="S27" s="138"/>
      <c r="T27" s="138"/>
      <c r="U27" s="138"/>
      <c r="V27" s="138"/>
      <c r="W27" s="138"/>
      <c r="X27" s="138"/>
      <c r="Y27" s="138"/>
      <c r="Z27" s="138"/>
      <c r="AA27" s="138"/>
      <c r="AB27" s="138"/>
    </row>
    <row r="28" spans="1:29" x14ac:dyDescent="0.2">
      <c r="A28" s="18" t="str">
        <f>'t1'!$A$27</f>
        <v>(a) personale a tempo indeterminato al quale viene applicato un contratto di lavoro di tipo privatistico (es.:tipografico,chimico,edile,metalmeccanico,portierato, ecc.)</v>
      </c>
      <c r="B28" s="2"/>
      <c r="C28" s="3"/>
      <c r="D28" s="3"/>
      <c r="E28" s="3"/>
      <c r="F28" s="3"/>
      <c r="G28" s="3"/>
      <c r="H28" s="3"/>
      <c r="I28" s="3"/>
      <c r="J28" s="3"/>
      <c r="K28" s="3"/>
      <c r="L28" s="3"/>
      <c r="M28" s="69"/>
    </row>
    <row r="29" spans="1:29" s="3" customFormat="1" x14ac:dyDescent="0.2">
      <c r="A29" s="18"/>
      <c r="B29" s="2"/>
    </row>
  </sheetData>
  <sheetProtection algorithmName="SHA-512" hashValue="UMrrmHnH77RBeX7hD+iMrjoPPFfK0xEJqroxz6fDUz0c1W7HX1PZW6BceAYIKyPmg9VGjMreEW9IacGAE2ytFw==" saltValue="lqM2B6iax0tS80eyh3bX4A==" spinCount="100000" sheet="1" formatColumns="0" selectLockedCells="1"/>
  <mergeCells count="14">
    <mergeCell ref="AA4:AB4"/>
    <mergeCell ref="U4:V4"/>
    <mergeCell ref="Y4:Z4"/>
    <mergeCell ref="W4:X4"/>
    <mergeCell ref="A1:Y1"/>
    <mergeCell ref="S2:AB2"/>
    <mergeCell ref="M4:N4"/>
    <mergeCell ref="C4:D4"/>
    <mergeCell ref="G4:H4"/>
    <mergeCell ref="I4:J4"/>
    <mergeCell ref="K4:L4"/>
    <mergeCell ref="O4:P4"/>
    <mergeCell ref="Q4:R4"/>
    <mergeCell ref="S4:T4"/>
  </mergeCells>
  <phoneticPr fontId="30" type="noConversion"/>
  <conditionalFormatting sqref="A6:AB25">
    <cfRule type="expression" dxfId="40" priority="1" stopIfTrue="1">
      <formula>$AC6&gt;0</formula>
    </cfRule>
  </conditionalFormatting>
  <printOptions horizontalCentered="1" verticalCentered="1"/>
  <pageMargins left="0" right="0" top="0.19685039370078741" bottom="0.15748031496062992" header="0.23622047244094491" footer="0.19685039370078741"/>
  <pageSetup paperSize="9" scale="7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glio16"/>
  <dimension ref="A1:T28"/>
  <sheetViews>
    <sheetView showGridLines="0" workbookViewId="0">
      <pane xSplit="2" ySplit="5" topLeftCell="C6" activePane="bottomRight" state="frozen"/>
      <selection activeCell="C4" sqref="C4:C6"/>
      <selection pane="topRight" activeCell="C4" sqref="C4:C6"/>
      <selection pane="bottomLeft" activeCell="C4" sqref="C4:C6"/>
      <selection pane="bottomRight" activeCell="C6" sqref="C6"/>
    </sheetView>
  </sheetViews>
  <sheetFormatPr defaultColWidth="10.7109375" defaultRowHeight="13.2" x14ac:dyDescent="0.25"/>
  <cols>
    <col min="1" max="1" width="38.28515625" style="26" customWidth="1"/>
    <col min="2" max="2" width="10.7109375" style="26" customWidth="1"/>
    <col min="3" max="16" width="13.7109375" style="26" customWidth="1"/>
    <col min="17" max="17" width="0" style="26" hidden="1" customWidth="1"/>
    <col min="18" max="16384" width="10.7109375" style="26"/>
  </cols>
  <sheetData>
    <row r="1" spans="1:17" s="3" customFormat="1" ht="43.5" customHeight="1" x14ac:dyDescent="0.2">
      <c r="A1" s="1463" t="str">
        <f>'t1'!A1</f>
        <v>ENTI PUBBLICI NON ECONOMICI - anno 2023</v>
      </c>
      <c r="B1" s="1463"/>
      <c r="C1" s="1463"/>
      <c r="D1" s="1463"/>
      <c r="E1" s="1463"/>
      <c r="F1" s="1463"/>
      <c r="G1" s="1463"/>
      <c r="H1" s="1463"/>
      <c r="I1" s="1463"/>
      <c r="J1" s="1463"/>
      <c r="K1" s="1463"/>
      <c r="L1" s="1463"/>
      <c r="M1" s="1463"/>
      <c r="N1" s="1463"/>
      <c r="P1" s="286"/>
      <c r="Q1"/>
    </row>
    <row r="2" spans="1:17" s="3" customFormat="1" ht="5.25" customHeight="1" x14ac:dyDescent="0.2">
      <c r="A2" s="320"/>
      <c r="B2" s="320"/>
      <c r="C2" s="320"/>
      <c r="D2" s="320"/>
      <c r="E2" s="320"/>
      <c r="F2" s="320"/>
      <c r="G2" s="320"/>
      <c r="H2" s="320"/>
      <c r="I2" s="320"/>
      <c r="J2" s="320"/>
      <c r="K2" s="320"/>
      <c r="L2" s="320"/>
      <c r="M2" s="320"/>
      <c r="N2" s="320"/>
      <c r="P2" s="286"/>
      <c r="Q2"/>
    </row>
    <row r="3" spans="1:17" ht="30" customHeight="1" thickBot="1" x14ac:dyDescent="0.3">
      <c r="M3" s="1499"/>
      <c r="N3" s="1499"/>
      <c r="O3" s="1499"/>
      <c r="P3" s="1499"/>
    </row>
    <row r="4" spans="1:17" ht="25.2" customHeight="1" x14ac:dyDescent="0.25">
      <c r="A4" s="255" t="s">
        <v>130</v>
      </c>
      <c r="B4" s="239" t="s">
        <v>57</v>
      </c>
      <c r="C4" s="27" t="s">
        <v>64</v>
      </c>
      <c r="D4" s="28"/>
      <c r="E4" s="27" t="s">
        <v>65</v>
      </c>
      <c r="F4" s="28"/>
      <c r="G4" s="1535" t="s">
        <v>52</v>
      </c>
      <c r="H4" s="1536"/>
      <c r="I4" s="1535" t="s">
        <v>66</v>
      </c>
      <c r="J4" s="1536"/>
      <c r="K4" s="1535" t="s">
        <v>53</v>
      </c>
      <c r="L4" s="1536"/>
      <c r="M4" s="1535" t="s">
        <v>54</v>
      </c>
      <c r="N4" s="1536"/>
      <c r="O4" s="27" t="s">
        <v>60</v>
      </c>
      <c r="P4" s="28"/>
    </row>
    <row r="5" spans="1:17" ht="14.25" customHeight="1" thickBot="1" x14ac:dyDescent="0.3">
      <c r="A5" s="717" t="s">
        <v>609</v>
      </c>
      <c r="B5" s="29"/>
      <c r="C5" s="30" t="s">
        <v>58</v>
      </c>
      <c r="D5" s="31" t="s">
        <v>59</v>
      </c>
      <c r="E5" s="30" t="s">
        <v>58</v>
      </c>
      <c r="F5" s="31" t="s">
        <v>59</v>
      </c>
      <c r="G5" s="30" t="s">
        <v>58</v>
      </c>
      <c r="H5" s="32" t="s">
        <v>59</v>
      </c>
      <c r="I5" s="30" t="s">
        <v>58</v>
      </c>
      <c r="J5" s="32" t="s">
        <v>59</v>
      </c>
      <c r="K5" s="30" t="s">
        <v>58</v>
      </c>
      <c r="L5" s="33" t="s">
        <v>59</v>
      </c>
      <c r="M5" s="30" t="s">
        <v>58</v>
      </c>
      <c r="N5" s="33" t="s">
        <v>59</v>
      </c>
      <c r="O5" s="466" t="s">
        <v>58</v>
      </c>
      <c r="P5" s="467" t="s">
        <v>59</v>
      </c>
    </row>
    <row r="6" spans="1:17" ht="14.1" customHeight="1" thickTop="1" x14ac:dyDescent="0.25">
      <c r="A6" s="17" t="str">
        <f>'t1'!A6</f>
        <v>DIRETTORE GENERALE</v>
      </c>
      <c r="B6" s="208" t="str">
        <f>'t1'!B6</f>
        <v>0D0097</v>
      </c>
      <c r="C6" s="302"/>
      <c r="D6" s="303"/>
      <c r="E6" s="302"/>
      <c r="F6" s="303"/>
      <c r="G6" s="302"/>
      <c r="H6" s="304"/>
      <c r="I6" s="461"/>
      <c r="J6" s="304"/>
      <c r="K6" s="461"/>
      <c r="L6" s="304"/>
      <c r="M6" s="305"/>
      <c r="N6" s="306"/>
      <c r="O6" s="465">
        <f>SUM(C6,E6,G6,I6,K6,M6)</f>
        <v>0</v>
      </c>
      <c r="P6" s="468">
        <f>SUM(D6,F6,H6,J6,L6,N6)</f>
        <v>0</v>
      </c>
      <c r="Q6" s="713">
        <f>'t1'!M6</f>
        <v>0</v>
      </c>
    </row>
    <row r="7" spans="1:17" ht="14.1" customHeight="1" x14ac:dyDescent="0.25">
      <c r="A7" s="135" t="str">
        <f>'t1'!A7</f>
        <v>DIRIGENTE I FASCIA</v>
      </c>
      <c r="B7" s="201" t="str">
        <f>'t1'!B7</f>
        <v>0D0077</v>
      </c>
      <c r="C7" s="307"/>
      <c r="D7" s="308"/>
      <c r="E7" s="307"/>
      <c r="F7" s="308"/>
      <c r="G7" s="307"/>
      <c r="H7" s="309"/>
      <c r="I7" s="462"/>
      <c r="J7" s="309"/>
      <c r="K7" s="462"/>
      <c r="L7" s="309"/>
      <c r="M7" s="310"/>
      <c r="N7" s="311"/>
      <c r="O7" s="414">
        <f t="shared" ref="O7:O20" si="0">SUM(C7,E7,G7,I7,K7,M7)</f>
        <v>0</v>
      </c>
      <c r="P7" s="415">
        <f t="shared" ref="P7:P20" si="1">SUM(D7,F7,H7,J7,L7,N7)</f>
        <v>0</v>
      </c>
      <c r="Q7" s="713">
        <f>'t1'!M7</f>
        <v>0</v>
      </c>
    </row>
    <row r="8" spans="1:17" ht="14.1" customHeight="1" x14ac:dyDescent="0.25">
      <c r="A8" s="135" t="str">
        <f>'t1'!A8</f>
        <v>DIRIGENTE I FASCIA A TEMPO DETERM.</v>
      </c>
      <c r="B8" s="201" t="str">
        <f>'t1'!B8</f>
        <v>0D0078</v>
      </c>
      <c r="C8" s="307"/>
      <c r="D8" s="308"/>
      <c r="E8" s="307"/>
      <c r="F8" s="308"/>
      <c r="G8" s="307"/>
      <c r="H8" s="309"/>
      <c r="I8" s="462"/>
      <c r="J8" s="309"/>
      <c r="K8" s="462"/>
      <c r="L8" s="309"/>
      <c r="M8" s="310"/>
      <c r="N8" s="311"/>
      <c r="O8" s="414">
        <f t="shared" si="0"/>
        <v>0</v>
      </c>
      <c r="P8" s="415">
        <f t="shared" si="1"/>
        <v>0</v>
      </c>
      <c r="Q8" s="713">
        <f>'t1'!M8</f>
        <v>0</v>
      </c>
    </row>
    <row r="9" spans="1:17" ht="14.1" customHeight="1" x14ac:dyDescent="0.25">
      <c r="A9" s="135" t="str">
        <f>'t1'!A9</f>
        <v>DIRIGENTE II FASCIA</v>
      </c>
      <c r="B9" s="201" t="str">
        <f>'t1'!B9</f>
        <v>0D0079</v>
      </c>
      <c r="C9" s="307"/>
      <c r="D9" s="308"/>
      <c r="E9" s="307"/>
      <c r="F9" s="308"/>
      <c r="G9" s="307"/>
      <c r="H9" s="309"/>
      <c r="I9" s="462"/>
      <c r="J9" s="309"/>
      <c r="K9" s="462"/>
      <c r="L9" s="309"/>
      <c r="M9" s="310"/>
      <c r="N9" s="311"/>
      <c r="O9" s="414">
        <f t="shared" si="0"/>
        <v>0</v>
      </c>
      <c r="P9" s="415">
        <f t="shared" si="1"/>
        <v>0</v>
      </c>
      <c r="Q9" s="713">
        <f>'t1'!M9</f>
        <v>0</v>
      </c>
    </row>
    <row r="10" spans="1:17" ht="14.1" customHeight="1" x14ac:dyDescent="0.25">
      <c r="A10" s="135" t="str">
        <f>'t1'!A10</f>
        <v>DIRIGENTE II FASCIA A TEMPO DETERM.</v>
      </c>
      <c r="B10" s="201" t="str">
        <f>'t1'!B10</f>
        <v>0D0080</v>
      </c>
      <c r="C10" s="307"/>
      <c r="D10" s="308"/>
      <c r="E10" s="307"/>
      <c r="F10" s="308"/>
      <c r="G10" s="307"/>
      <c r="H10" s="309"/>
      <c r="I10" s="462"/>
      <c r="J10" s="309"/>
      <c r="K10" s="462"/>
      <c r="L10" s="309"/>
      <c r="M10" s="310"/>
      <c r="N10" s="311"/>
      <c r="O10" s="414">
        <f t="shared" si="0"/>
        <v>0</v>
      </c>
      <c r="P10" s="415">
        <f t="shared" si="1"/>
        <v>0</v>
      </c>
      <c r="Q10" s="713">
        <f>'t1'!M10</f>
        <v>0</v>
      </c>
    </row>
    <row r="11" spans="1:17" ht="14.1" customHeight="1" x14ac:dyDescent="0.25">
      <c r="A11" s="135" t="str">
        <f>'t1'!A11</f>
        <v>MEDICO II FASCIA T.P.</v>
      </c>
      <c r="B11" s="201" t="str">
        <f>'t1'!B11</f>
        <v>0D0584</v>
      </c>
      <c r="C11" s="307"/>
      <c r="D11" s="308"/>
      <c r="E11" s="307"/>
      <c r="F11" s="308"/>
      <c r="G11" s="307"/>
      <c r="H11" s="309"/>
      <c r="I11" s="462"/>
      <c r="J11" s="309"/>
      <c r="K11" s="462"/>
      <c r="L11" s="309"/>
      <c r="M11" s="310"/>
      <c r="N11" s="311"/>
      <c r="O11" s="414">
        <f t="shared" si="0"/>
        <v>0</v>
      </c>
      <c r="P11" s="415">
        <f t="shared" si="1"/>
        <v>0</v>
      </c>
      <c r="Q11" s="713">
        <f>'t1'!M11</f>
        <v>0</v>
      </c>
    </row>
    <row r="12" spans="1:17" ht="14.1" customHeight="1" x14ac:dyDescent="0.25">
      <c r="A12" s="135" t="str">
        <f>'t1'!A12</f>
        <v>MEDICO I FASCIA T.P.</v>
      </c>
      <c r="B12" s="201" t="str">
        <f>'t1'!B12</f>
        <v>0D0585</v>
      </c>
      <c r="C12" s="307"/>
      <c r="D12" s="308"/>
      <c r="E12" s="307"/>
      <c r="F12" s="308"/>
      <c r="G12" s="307"/>
      <c r="H12" s="309"/>
      <c r="I12" s="462"/>
      <c r="J12" s="309"/>
      <c r="K12" s="462"/>
      <c r="L12" s="309"/>
      <c r="M12" s="310"/>
      <c r="N12" s="311"/>
      <c r="O12" s="414">
        <f t="shared" si="0"/>
        <v>0</v>
      </c>
      <c r="P12" s="415">
        <f t="shared" si="1"/>
        <v>0</v>
      </c>
      <c r="Q12" s="713">
        <f>'t1'!M12</f>
        <v>0</v>
      </c>
    </row>
    <row r="13" spans="1:17" ht="14.1" customHeight="1" x14ac:dyDescent="0.25">
      <c r="A13" s="135" t="str">
        <f>'t1'!A13</f>
        <v>MEDICO II FASCIA T.D.</v>
      </c>
      <c r="B13" s="201" t="str">
        <f>'t1'!B13</f>
        <v>0D0586</v>
      </c>
      <c r="C13" s="307"/>
      <c r="D13" s="308"/>
      <c r="E13" s="307"/>
      <c r="F13" s="308"/>
      <c r="G13" s="307"/>
      <c r="H13" s="309"/>
      <c r="I13" s="462"/>
      <c r="J13" s="309"/>
      <c r="K13" s="462"/>
      <c r="L13" s="309"/>
      <c r="M13" s="310"/>
      <c r="N13" s="311"/>
      <c r="O13" s="414">
        <f t="shared" si="0"/>
        <v>0</v>
      </c>
      <c r="P13" s="415">
        <f t="shared" si="1"/>
        <v>0</v>
      </c>
      <c r="Q13" s="713">
        <f>'t1'!M13</f>
        <v>0</v>
      </c>
    </row>
    <row r="14" spans="1:17" ht="14.1" customHeight="1" x14ac:dyDescent="0.25">
      <c r="A14" s="135" t="str">
        <f>'t1'!A14</f>
        <v>MEDICO I FASCIA T.D.</v>
      </c>
      <c r="B14" s="201" t="str">
        <f>'t1'!B14</f>
        <v>0D0496</v>
      </c>
      <c r="C14" s="307"/>
      <c r="D14" s="308"/>
      <c r="E14" s="307"/>
      <c r="F14" s="308"/>
      <c r="G14" s="307"/>
      <c r="H14" s="309"/>
      <c r="I14" s="462"/>
      <c r="J14" s="309"/>
      <c r="K14" s="462"/>
      <c r="L14" s="309"/>
      <c r="M14" s="310"/>
      <c r="N14" s="311"/>
      <c r="O14" s="414">
        <f t="shared" si="0"/>
        <v>0</v>
      </c>
      <c r="P14" s="415">
        <f t="shared" si="1"/>
        <v>0</v>
      </c>
      <c r="Q14" s="713">
        <f>'t1'!M14</f>
        <v>0</v>
      </c>
    </row>
    <row r="15" spans="1:17" ht="14.1" customHeight="1" x14ac:dyDescent="0.25">
      <c r="A15" s="135" t="str">
        <f>'t1'!A15</f>
        <v>PROF.STI LEGALI LIV. II DIFF.</v>
      </c>
      <c r="B15" s="201" t="str">
        <f>'t1'!B15</f>
        <v>0D0473</v>
      </c>
      <c r="C15" s="307"/>
      <c r="D15" s="308"/>
      <c r="E15" s="307"/>
      <c r="F15" s="308"/>
      <c r="G15" s="307"/>
      <c r="H15" s="309"/>
      <c r="I15" s="462"/>
      <c r="J15" s="309"/>
      <c r="K15" s="462"/>
      <c r="L15" s="309"/>
      <c r="M15" s="310"/>
      <c r="N15" s="311"/>
      <c r="O15" s="414">
        <f t="shared" si="0"/>
        <v>0</v>
      </c>
      <c r="P15" s="415">
        <f t="shared" si="1"/>
        <v>0</v>
      </c>
      <c r="Q15" s="713">
        <f>'t1'!M15</f>
        <v>0</v>
      </c>
    </row>
    <row r="16" spans="1:17" ht="14.1" customHeight="1" x14ac:dyDescent="0.25">
      <c r="A16" s="135" t="str">
        <f>'t1'!A16</f>
        <v>PROF.STI LEGALI LIV. I DIFF.</v>
      </c>
      <c r="B16" s="201" t="str">
        <f>'t1'!B16</f>
        <v>0D0472</v>
      </c>
      <c r="C16" s="307"/>
      <c r="D16" s="308"/>
      <c r="E16" s="307"/>
      <c r="F16" s="308"/>
      <c r="G16" s="307"/>
      <c r="H16" s="309"/>
      <c r="I16" s="462"/>
      <c r="J16" s="309"/>
      <c r="K16" s="462"/>
      <c r="L16" s="309"/>
      <c r="M16" s="310"/>
      <c r="N16" s="311"/>
      <c r="O16" s="414">
        <f t="shared" si="0"/>
        <v>0</v>
      </c>
      <c r="P16" s="415">
        <f t="shared" si="1"/>
        <v>0</v>
      </c>
      <c r="Q16" s="713">
        <f>'t1'!M16</f>
        <v>0</v>
      </c>
    </row>
    <row r="17" spans="1:20" ht="14.1" customHeight="1" x14ac:dyDescent="0.25">
      <c r="A17" s="135" t="str">
        <f>'t1'!A17</f>
        <v>PROF.STI LEGALI</v>
      </c>
      <c r="B17" s="201" t="str">
        <f>'t1'!B17</f>
        <v>0D0084</v>
      </c>
      <c r="C17" s="307"/>
      <c r="D17" s="308"/>
      <c r="E17" s="307"/>
      <c r="F17" s="308"/>
      <c r="G17" s="307"/>
      <c r="H17" s="309"/>
      <c r="I17" s="462"/>
      <c r="J17" s="309"/>
      <c r="K17" s="462"/>
      <c r="L17" s="309"/>
      <c r="M17" s="310"/>
      <c r="N17" s="311"/>
      <c r="O17" s="414">
        <f t="shared" si="0"/>
        <v>0</v>
      </c>
      <c r="P17" s="415">
        <f t="shared" si="1"/>
        <v>0</v>
      </c>
      <c r="Q17" s="713">
        <f>'t1'!M17</f>
        <v>0</v>
      </c>
    </row>
    <row r="18" spans="1:20" ht="14.1" customHeight="1" x14ac:dyDescent="0.25">
      <c r="A18" s="135" t="str">
        <f>'t1'!A18</f>
        <v>ALTRI PROF.STI LIV. II DIFF.</v>
      </c>
      <c r="B18" s="201" t="str">
        <f>'t1'!B18</f>
        <v>0D0481</v>
      </c>
      <c r="C18" s="307"/>
      <c r="D18" s="308"/>
      <c r="E18" s="307"/>
      <c r="F18" s="308"/>
      <c r="G18" s="307"/>
      <c r="H18" s="309"/>
      <c r="I18" s="462"/>
      <c r="J18" s="309"/>
      <c r="K18" s="462"/>
      <c r="L18" s="309"/>
      <c r="M18" s="310"/>
      <c r="N18" s="311"/>
      <c r="O18" s="414">
        <f t="shared" si="0"/>
        <v>0</v>
      </c>
      <c r="P18" s="415">
        <f t="shared" si="1"/>
        <v>0</v>
      </c>
      <c r="Q18" s="713">
        <f>'t1'!M18</f>
        <v>0</v>
      </c>
    </row>
    <row r="19" spans="1:20" ht="14.1" customHeight="1" x14ac:dyDescent="0.25">
      <c r="A19" s="135" t="str">
        <f>'t1'!A19</f>
        <v>ALTRI PROF.STI LIV. I DIFF.</v>
      </c>
      <c r="B19" s="201" t="str">
        <f>'t1'!B19</f>
        <v>0D0480</v>
      </c>
      <c r="C19" s="307"/>
      <c r="D19" s="308"/>
      <c r="E19" s="307"/>
      <c r="F19" s="308"/>
      <c r="G19" s="307"/>
      <c r="H19" s="309"/>
      <c r="I19" s="462"/>
      <c r="J19" s="309"/>
      <c r="K19" s="462"/>
      <c r="L19" s="309"/>
      <c r="M19" s="310"/>
      <c r="N19" s="311"/>
      <c r="O19" s="414">
        <f t="shared" si="0"/>
        <v>0</v>
      </c>
      <c r="P19" s="415">
        <f t="shared" si="1"/>
        <v>0</v>
      </c>
      <c r="Q19" s="713">
        <f>'t1'!M19</f>
        <v>0</v>
      </c>
    </row>
    <row r="20" spans="1:20" ht="14.1" customHeight="1" x14ac:dyDescent="0.25">
      <c r="A20" s="135" t="str">
        <f>'t1'!A20</f>
        <v>ALTRI PROF.STI</v>
      </c>
      <c r="B20" s="201" t="str">
        <f>'t1'!B20</f>
        <v>0D0075</v>
      </c>
      <c r="C20" s="307"/>
      <c r="D20" s="308"/>
      <c r="E20" s="307"/>
      <c r="F20" s="308"/>
      <c r="G20" s="307"/>
      <c r="H20" s="309"/>
      <c r="I20" s="462"/>
      <c r="J20" s="309"/>
      <c r="K20" s="462"/>
      <c r="L20" s="309"/>
      <c r="M20" s="310"/>
      <c r="N20" s="311"/>
      <c r="O20" s="414">
        <f t="shared" si="0"/>
        <v>0</v>
      </c>
      <c r="P20" s="415">
        <f t="shared" si="1"/>
        <v>0</v>
      </c>
      <c r="Q20" s="713">
        <f>'t1'!M20</f>
        <v>0</v>
      </c>
    </row>
    <row r="21" spans="1:20" ht="14.1" customHeight="1" x14ac:dyDescent="0.25">
      <c r="A21" s="135" t="str">
        <f>'t1'!A21</f>
        <v>ELEVATE PROFESSIONALITA'</v>
      </c>
      <c r="B21" s="201" t="str">
        <f>'t1'!B21</f>
        <v>0EP981</v>
      </c>
      <c r="C21" s="307"/>
      <c r="D21" s="308"/>
      <c r="E21" s="307"/>
      <c r="F21" s="308"/>
      <c r="G21" s="307"/>
      <c r="H21" s="309"/>
      <c r="I21" s="462"/>
      <c r="J21" s="309"/>
      <c r="K21" s="462"/>
      <c r="L21" s="309"/>
      <c r="M21" s="310"/>
      <c r="N21" s="311"/>
      <c r="O21" s="414">
        <f t="shared" ref="O21:P25" si="2">SUM(C21,E21,G21,I21,K21,M21)</f>
        <v>0</v>
      </c>
      <c r="P21" s="415">
        <f t="shared" si="2"/>
        <v>0</v>
      </c>
      <c r="Q21" s="713">
        <f>'t1'!M21</f>
        <v>0</v>
      </c>
    </row>
    <row r="22" spans="1:20" ht="14.1" customHeight="1" x14ac:dyDescent="0.25">
      <c r="A22" s="135" t="str">
        <f>'t1'!A22</f>
        <v>FUNZIONARI</v>
      </c>
      <c r="B22" s="201" t="str">
        <f>'t1'!B22</f>
        <v>0FZ000</v>
      </c>
      <c r="C22" s="307"/>
      <c r="D22" s="308"/>
      <c r="E22" s="307"/>
      <c r="F22" s="308"/>
      <c r="G22" s="307"/>
      <c r="H22" s="309"/>
      <c r="I22" s="462"/>
      <c r="J22" s="309"/>
      <c r="K22" s="462"/>
      <c r="L22" s="309"/>
      <c r="M22" s="310"/>
      <c r="N22" s="311"/>
      <c r="O22" s="414">
        <f t="shared" si="2"/>
        <v>0</v>
      </c>
      <c r="P22" s="415">
        <f t="shared" si="2"/>
        <v>0</v>
      </c>
      <c r="Q22" s="713">
        <f>'t1'!M22</f>
        <v>0</v>
      </c>
    </row>
    <row r="23" spans="1:20" ht="14.1" customHeight="1" x14ac:dyDescent="0.25">
      <c r="A23" s="135" t="str">
        <f>'t1'!A23</f>
        <v>ASSISTENTI</v>
      </c>
      <c r="B23" s="201" t="str">
        <f>'t1'!B23</f>
        <v>0AS000</v>
      </c>
      <c r="C23" s="307"/>
      <c r="D23" s="308"/>
      <c r="E23" s="307"/>
      <c r="F23" s="308"/>
      <c r="G23" s="307"/>
      <c r="H23" s="309"/>
      <c r="I23" s="462"/>
      <c r="J23" s="309"/>
      <c r="K23" s="462"/>
      <c r="L23" s="309"/>
      <c r="M23" s="310"/>
      <c r="N23" s="311"/>
      <c r="O23" s="414">
        <f t="shared" si="2"/>
        <v>0</v>
      </c>
      <c r="P23" s="415">
        <f t="shared" si="2"/>
        <v>0</v>
      </c>
      <c r="Q23" s="713">
        <f>'t1'!M23</f>
        <v>0</v>
      </c>
    </row>
    <row r="24" spans="1:20" ht="14.1" customHeight="1" x14ac:dyDescent="0.25">
      <c r="A24" s="135" t="str">
        <f>'t1'!A24</f>
        <v>OPERATORI</v>
      </c>
      <c r="B24" s="201" t="str">
        <f>'t1'!B24</f>
        <v>0OP000</v>
      </c>
      <c r="C24" s="307"/>
      <c r="D24" s="308"/>
      <c r="E24" s="307"/>
      <c r="F24" s="308"/>
      <c r="G24" s="307"/>
      <c r="H24" s="309"/>
      <c r="I24" s="462"/>
      <c r="J24" s="309"/>
      <c r="K24" s="462"/>
      <c r="L24" s="309"/>
      <c r="M24" s="310"/>
      <c r="N24" s="311"/>
      <c r="O24" s="414">
        <f t="shared" si="2"/>
        <v>0</v>
      </c>
      <c r="P24" s="415">
        <f t="shared" si="2"/>
        <v>0</v>
      </c>
      <c r="Q24" s="713">
        <f>'t1'!M24</f>
        <v>0</v>
      </c>
    </row>
    <row r="25" spans="1:20" ht="14.1" customHeight="1" thickBot="1" x14ac:dyDescent="0.3">
      <c r="A25" s="135" t="str">
        <f>'t1'!A25</f>
        <v>CONTRATTISTI</v>
      </c>
      <c r="B25" s="201" t="str">
        <f>'t1'!B25</f>
        <v>000061</v>
      </c>
      <c r="C25" s="307"/>
      <c r="D25" s="308"/>
      <c r="E25" s="307"/>
      <c r="F25" s="308"/>
      <c r="G25" s="307"/>
      <c r="H25" s="309"/>
      <c r="I25" s="462"/>
      <c r="J25" s="309"/>
      <c r="K25" s="462"/>
      <c r="L25" s="309"/>
      <c r="M25" s="310"/>
      <c r="N25" s="311"/>
      <c r="O25" s="414">
        <f t="shared" si="2"/>
        <v>0</v>
      </c>
      <c r="P25" s="415">
        <f t="shared" si="2"/>
        <v>0</v>
      </c>
      <c r="Q25" s="713">
        <f>'t1'!M25</f>
        <v>0</v>
      </c>
    </row>
    <row r="26" spans="1:20" ht="12" customHeight="1" thickTop="1" thickBot="1" x14ac:dyDescent="0.3">
      <c r="A26" s="34" t="s">
        <v>60</v>
      </c>
      <c r="B26" s="35"/>
      <c r="C26" s="416">
        <f t="shared" ref="C26:P26" si="3">SUM(C6:C25)</f>
        <v>0</v>
      </c>
      <c r="D26" s="417">
        <f t="shared" si="3"/>
        <v>0</v>
      </c>
      <c r="E26" s="416">
        <f t="shared" si="3"/>
        <v>0</v>
      </c>
      <c r="F26" s="417">
        <f t="shared" si="3"/>
        <v>0</v>
      </c>
      <c r="G26" s="416">
        <f t="shared" si="3"/>
        <v>0</v>
      </c>
      <c r="H26" s="417">
        <f t="shared" si="3"/>
        <v>0</v>
      </c>
      <c r="I26" s="463">
        <f t="shared" si="3"/>
        <v>0</v>
      </c>
      <c r="J26" s="417">
        <f t="shared" si="3"/>
        <v>0</v>
      </c>
      <c r="K26" s="463">
        <f t="shared" si="3"/>
        <v>0</v>
      </c>
      <c r="L26" s="417">
        <f t="shared" si="3"/>
        <v>0</v>
      </c>
      <c r="M26" s="464">
        <f t="shared" si="3"/>
        <v>0</v>
      </c>
      <c r="N26" s="417">
        <f t="shared" si="3"/>
        <v>0</v>
      </c>
      <c r="O26" s="416">
        <f t="shared" si="3"/>
        <v>0</v>
      </c>
      <c r="P26" s="417">
        <f t="shared" si="3"/>
        <v>0</v>
      </c>
      <c r="Q26" s="713"/>
    </row>
    <row r="27" spans="1:20" ht="18" customHeight="1" x14ac:dyDescent="0.25">
      <c r="A27" s="18" t="str">
        <f>'t1'!$A$27</f>
        <v>(a) personale a tempo indeterminato al quale viene applicato un contratto di lavoro di tipo privatistico (es.:tipografico,chimico,edile,metalmeccanico,portierato, ecc.)</v>
      </c>
      <c r="B27" s="2"/>
      <c r="C27" s="3"/>
      <c r="D27" s="3"/>
      <c r="E27" s="3"/>
      <c r="F27" s="3"/>
      <c r="G27" s="3"/>
      <c r="H27" s="3"/>
      <c r="I27" s="3"/>
      <c r="J27" s="3"/>
      <c r="K27" s="3"/>
      <c r="L27" s="3"/>
      <c r="M27" s="3"/>
      <c r="N27" s="3"/>
      <c r="O27" s="69"/>
      <c r="P27" s="36"/>
      <c r="Q27" s="713"/>
      <c r="R27" s="36"/>
      <c r="S27" s="36"/>
      <c r="T27" s="36"/>
    </row>
    <row r="28" spans="1:20" s="3" customFormat="1" ht="10.199999999999999" x14ac:dyDescent="0.2">
      <c r="A28" s="18"/>
      <c r="B28" s="2"/>
    </row>
  </sheetData>
  <sheetProtection algorithmName="SHA-512" hashValue="QrKWTG8yPJG9IBQweKPrVvpyaSAqUDYAwPAb5Rx7gyr6oRQfoqfA05iK6i4cek+//efAQB9MnyEVzCUHExsk1Q==" saltValue="LkyDNNB/RTCrDbn70wtYgQ==" spinCount="100000" sheet="1" formatColumns="0" selectLockedCells="1"/>
  <mergeCells count="6">
    <mergeCell ref="M3:P3"/>
    <mergeCell ref="A1:N1"/>
    <mergeCell ref="G4:H4"/>
    <mergeCell ref="I4:J4"/>
    <mergeCell ref="M4:N4"/>
    <mergeCell ref="K4:L4"/>
  </mergeCells>
  <phoneticPr fontId="30" type="noConversion"/>
  <conditionalFormatting sqref="A6:P25">
    <cfRule type="expression" dxfId="39" priority="1" stopIfTrue="1">
      <formula>$Q6&gt;0</formula>
    </cfRule>
  </conditionalFormatting>
  <printOptions horizontalCentered="1" verticalCentered="1"/>
  <pageMargins left="0" right="0" top="0.19685039370078741" bottom="0.15748031496062992" header="0.19685039370078741" footer="0.15748031496062992"/>
  <pageSetup paperSize="9" scale="7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oglio17"/>
  <dimension ref="A1:AZ28"/>
  <sheetViews>
    <sheetView showGridLines="0" workbookViewId="0">
      <pane xSplit="2" ySplit="5" topLeftCell="C6" activePane="bottomRight" state="frozen"/>
      <selection activeCell="C4" sqref="C4:C6"/>
      <selection pane="topRight" activeCell="C4" sqref="C4:C6"/>
      <selection pane="bottomLeft" activeCell="C4" sqref="C4:C6"/>
      <selection pane="bottomRight" activeCell="C6" sqref="C6"/>
    </sheetView>
  </sheetViews>
  <sheetFormatPr defaultColWidth="9.28515625" defaultRowHeight="17.25" customHeight="1" x14ac:dyDescent="0.2"/>
  <cols>
    <col min="1" max="1" width="37.140625" style="3" customWidth="1"/>
    <col min="2" max="2" width="8.7109375" style="2" bestFit="1" customWidth="1"/>
    <col min="3" max="26" width="7.7109375" style="3" customWidth="1"/>
    <col min="27" max="48" width="8.42578125" style="3" customWidth="1"/>
    <col min="49" max="49" width="15.140625" style="609" bestFit="1" customWidth="1"/>
    <col min="50" max="50" width="8.7109375" style="3" customWidth="1"/>
    <col min="51" max="51" width="8.28515625" style="3" customWidth="1"/>
    <col min="52" max="52" width="9.28515625" style="3" hidden="1" customWidth="1"/>
    <col min="53" max="16384" width="9.28515625" style="3"/>
  </cols>
  <sheetData>
    <row r="1" spans="1:52" ht="43.5" customHeight="1" x14ac:dyDescent="0.2">
      <c r="A1" s="1537" t="s">
        <v>287</v>
      </c>
      <c r="C1" s="1463" t="str">
        <f>'t1'!A1</f>
        <v>ENTI PUBBLICI NON ECONOMICI - anno 2023</v>
      </c>
      <c r="D1" s="1463"/>
      <c r="E1" s="1463"/>
      <c r="F1" s="1463"/>
      <c r="G1" s="1463"/>
      <c r="H1" s="1463"/>
      <c r="I1" s="1463"/>
      <c r="J1" s="1463"/>
      <c r="K1" s="1463"/>
      <c r="L1" s="1463"/>
      <c r="M1" s="1463"/>
      <c r="N1" s="1463"/>
      <c r="O1" s="1463"/>
      <c r="P1" s="1463"/>
      <c r="Q1" s="1463"/>
      <c r="R1" s="1463"/>
      <c r="S1" s="1463"/>
      <c r="T1" s="1463"/>
      <c r="U1" s="1463"/>
      <c r="V1" s="1463"/>
      <c r="W1" s="1463"/>
      <c r="Z1" s="286"/>
      <c r="AA1" s="1463" t="str">
        <f>C1</f>
        <v>ENTI PUBBLICI NON ECONOMICI - anno 2023</v>
      </c>
      <c r="AB1" s="1463"/>
      <c r="AC1" s="1463"/>
      <c r="AD1" s="1463"/>
      <c r="AE1" s="1463"/>
      <c r="AF1" s="1463"/>
      <c r="AG1" s="1463"/>
      <c r="AH1" s="1463"/>
      <c r="AI1" s="1463"/>
      <c r="AJ1" s="1463"/>
      <c r="AK1" s="1463"/>
      <c r="AL1" s="1463"/>
      <c r="AM1" s="1463"/>
      <c r="AN1" s="1463"/>
      <c r="AO1" s="1463"/>
      <c r="AP1" s="1463"/>
      <c r="AQ1" s="1463"/>
      <c r="AR1" s="1463"/>
      <c r="AS1" s="1463"/>
      <c r="AV1" s="286"/>
      <c r="AY1" s="610"/>
    </row>
    <row r="2" spans="1:52" ht="30" customHeight="1" thickBot="1" x14ac:dyDescent="0.25">
      <c r="A2" s="1538"/>
      <c r="S2" s="1499"/>
      <c r="T2" s="1499"/>
      <c r="U2" s="1499"/>
      <c r="V2" s="1499"/>
      <c r="W2" s="1499"/>
      <c r="X2" s="1499"/>
      <c r="Y2" s="1499"/>
      <c r="Z2" s="1499"/>
      <c r="AO2" s="1499"/>
      <c r="AP2" s="1499"/>
      <c r="AQ2" s="1499"/>
      <c r="AR2" s="1499"/>
      <c r="AS2" s="1499"/>
      <c r="AT2" s="1499"/>
      <c r="AU2" s="1499"/>
      <c r="AV2" s="1499"/>
    </row>
    <row r="3" spans="1:52" ht="10.8" thickBot="1" x14ac:dyDescent="0.25">
      <c r="A3" s="7"/>
      <c r="B3" s="240" t="s">
        <v>234</v>
      </c>
      <c r="C3" s="112"/>
      <c r="D3" s="9"/>
      <c r="E3" s="9"/>
      <c r="F3" s="9"/>
      <c r="G3" s="9"/>
      <c r="H3" s="9"/>
      <c r="I3" s="9"/>
      <c r="J3" s="9"/>
      <c r="K3" s="9"/>
      <c r="L3" s="9"/>
      <c r="M3" s="9"/>
      <c r="N3" s="9"/>
      <c r="O3" s="9"/>
      <c r="P3" s="9"/>
      <c r="Q3" s="9"/>
      <c r="R3" s="9"/>
      <c r="S3" s="9"/>
      <c r="T3" s="9"/>
      <c r="U3" s="9"/>
      <c r="V3" s="9"/>
      <c r="W3" s="9"/>
      <c r="X3" s="248"/>
      <c r="Y3" s="248"/>
      <c r="Z3" s="109"/>
      <c r="AA3" s="248"/>
      <c r="AB3" s="248"/>
      <c r="AC3" s="248"/>
      <c r="AD3" s="248"/>
      <c r="AE3" s="248"/>
      <c r="AF3" s="248"/>
      <c r="AG3" s="248"/>
      <c r="AH3" s="248"/>
      <c r="AI3" s="248"/>
      <c r="AJ3" s="248"/>
      <c r="AK3" s="248"/>
      <c r="AL3" s="248"/>
      <c r="AM3" s="248"/>
      <c r="AN3" s="248"/>
      <c r="AO3" s="248"/>
      <c r="AP3" s="248"/>
      <c r="AQ3" s="248"/>
      <c r="AR3" s="248"/>
      <c r="AS3" s="248"/>
      <c r="AT3" s="248"/>
      <c r="AU3" s="248"/>
      <c r="AV3" s="249"/>
      <c r="AX3" s="611"/>
      <c r="AY3" s="612"/>
    </row>
    <row r="4" spans="1:52" ht="31.2" thickTop="1" x14ac:dyDescent="0.2">
      <c r="A4" s="19" t="s">
        <v>130</v>
      </c>
      <c r="B4" s="241" t="s">
        <v>97</v>
      </c>
      <c r="C4" s="113" t="s">
        <v>269</v>
      </c>
      <c r="D4" s="114"/>
      <c r="E4" s="1480" t="s">
        <v>356</v>
      </c>
      <c r="F4" s="1481"/>
      <c r="G4" s="1480" t="s">
        <v>111</v>
      </c>
      <c r="H4" s="1522"/>
      <c r="I4" s="1480" t="s">
        <v>112</v>
      </c>
      <c r="J4" s="1481"/>
      <c r="K4" s="115" t="s">
        <v>109</v>
      </c>
      <c r="L4" s="115"/>
      <c r="M4" s="1480" t="s">
        <v>103</v>
      </c>
      <c r="N4" s="1481"/>
      <c r="O4" s="115" t="s">
        <v>270</v>
      </c>
      <c r="P4" s="115"/>
      <c r="Q4" s="115" t="s">
        <v>107</v>
      </c>
      <c r="R4" s="114"/>
      <c r="S4" s="113" t="s">
        <v>102</v>
      </c>
      <c r="T4" s="115"/>
      <c r="U4" s="115" t="s">
        <v>100</v>
      </c>
      <c r="V4" s="116"/>
      <c r="W4" s="115" t="s">
        <v>106</v>
      </c>
      <c r="X4" s="114"/>
      <c r="Y4" s="115" t="s">
        <v>108</v>
      </c>
      <c r="Z4" s="114"/>
      <c r="AA4" s="115" t="s">
        <v>99</v>
      </c>
      <c r="AB4" s="114"/>
      <c r="AC4" s="115" t="s">
        <v>110</v>
      </c>
      <c r="AD4" s="116"/>
      <c r="AE4" s="115" t="s">
        <v>114</v>
      </c>
      <c r="AF4" s="115"/>
      <c r="AG4" s="115" t="s">
        <v>113</v>
      </c>
      <c r="AH4" s="117"/>
      <c r="AI4" s="115" t="s">
        <v>104</v>
      </c>
      <c r="AJ4" s="116"/>
      <c r="AK4" s="115" t="s">
        <v>105</v>
      </c>
      <c r="AL4" s="115"/>
      <c r="AM4" s="115" t="s">
        <v>98</v>
      </c>
      <c r="AN4" s="116"/>
      <c r="AO4" s="115" t="s">
        <v>101</v>
      </c>
      <c r="AP4" s="114"/>
      <c r="AQ4" s="115" t="s">
        <v>271</v>
      </c>
      <c r="AR4" s="114"/>
      <c r="AS4" s="116" t="s">
        <v>272</v>
      </c>
      <c r="AT4" s="113"/>
      <c r="AU4" s="116" t="s">
        <v>60</v>
      </c>
      <c r="AV4" s="117"/>
      <c r="AX4" s="613" t="s">
        <v>533</v>
      </c>
      <c r="AY4" s="614"/>
    </row>
    <row r="5" spans="1:52" s="247" customFormat="1" ht="10.8" thickBot="1" x14ac:dyDescent="0.25">
      <c r="A5" s="717" t="s">
        <v>609</v>
      </c>
      <c r="B5" s="242"/>
      <c r="C5" s="243" t="s">
        <v>58</v>
      </c>
      <c r="D5" s="244" t="s">
        <v>59</v>
      </c>
      <c r="E5" s="243" t="s">
        <v>58</v>
      </c>
      <c r="F5" s="244" t="s">
        <v>59</v>
      </c>
      <c r="G5" s="243" t="s">
        <v>58</v>
      </c>
      <c r="H5" s="244" t="s">
        <v>59</v>
      </c>
      <c r="I5" s="243" t="s">
        <v>58</v>
      </c>
      <c r="J5" s="244" t="s">
        <v>59</v>
      </c>
      <c r="K5" s="243" t="s">
        <v>58</v>
      </c>
      <c r="L5" s="244" t="s">
        <v>59</v>
      </c>
      <c r="M5" s="243" t="s">
        <v>58</v>
      </c>
      <c r="N5" s="245" t="s">
        <v>59</v>
      </c>
      <c r="O5" s="243" t="s">
        <v>58</v>
      </c>
      <c r="P5" s="245" t="s">
        <v>59</v>
      </c>
      <c r="Q5" s="243" t="s">
        <v>58</v>
      </c>
      <c r="R5" s="245" t="s">
        <v>59</v>
      </c>
      <c r="S5" s="243" t="s">
        <v>58</v>
      </c>
      <c r="T5" s="245" t="s">
        <v>59</v>
      </c>
      <c r="U5" s="243" t="s">
        <v>58</v>
      </c>
      <c r="V5" s="245" t="s">
        <v>59</v>
      </c>
      <c r="W5" s="243" t="s">
        <v>58</v>
      </c>
      <c r="X5" s="244" t="s">
        <v>59</v>
      </c>
      <c r="Y5" s="243" t="s">
        <v>58</v>
      </c>
      <c r="Z5" s="244" t="s">
        <v>59</v>
      </c>
      <c r="AA5" s="243" t="s">
        <v>58</v>
      </c>
      <c r="AB5" s="244" t="s">
        <v>59</v>
      </c>
      <c r="AC5" s="243" t="s">
        <v>58</v>
      </c>
      <c r="AD5" s="245" t="s">
        <v>59</v>
      </c>
      <c r="AE5" s="243" t="s">
        <v>58</v>
      </c>
      <c r="AF5" s="245" t="s">
        <v>59</v>
      </c>
      <c r="AG5" s="243" t="s">
        <v>58</v>
      </c>
      <c r="AH5" s="245" t="s">
        <v>59</v>
      </c>
      <c r="AI5" s="243" t="s">
        <v>58</v>
      </c>
      <c r="AJ5" s="245" t="s">
        <v>59</v>
      </c>
      <c r="AK5" s="243" t="s">
        <v>58</v>
      </c>
      <c r="AL5" s="245" t="s">
        <v>59</v>
      </c>
      <c r="AM5" s="243" t="s">
        <v>58</v>
      </c>
      <c r="AN5" s="245" t="s">
        <v>59</v>
      </c>
      <c r="AO5" s="243" t="s">
        <v>58</v>
      </c>
      <c r="AP5" s="244" t="s">
        <v>59</v>
      </c>
      <c r="AQ5" s="243" t="s">
        <v>58</v>
      </c>
      <c r="AR5" s="244" t="s">
        <v>59</v>
      </c>
      <c r="AS5" s="246" t="s">
        <v>58</v>
      </c>
      <c r="AT5" s="244" t="s">
        <v>59</v>
      </c>
      <c r="AU5" s="246" t="s">
        <v>58</v>
      </c>
      <c r="AV5" s="245" t="s">
        <v>59</v>
      </c>
      <c r="AW5" s="615"/>
      <c r="AX5" s="616" t="s">
        <v>58</v>
      </c>
      <c r="AY5" s="617" t="s">
        <v>59</v>
      </c>
    </row>
    <row r="6" spans="1:52" ht="12.75" customHeight="1" thickTop="1" x14ac:dyDescent="0.2">
      <c r="A6" s="17" t="str">
        <f>'t1'!A6</f>
        <v>DIRETTORE GENERALE</v>
      </c>
      <c r="B6" s="208" t="str">
        <f>'t1'!B6</f>
        <v>0D0097</v>
      </c>
      <c r="C6" s="596"/>
      <c r="D6" s="597"/>
      <c r="E6" s="596"/>
      <c r="F6" s="597"/>
      <c r="G6" s="596"/>
      <c r="H6" s="597"/>
      <c r="I6" s="596"/>
      <c r="J6" s="597"/>
      <c r="K6" s="596"/>
      <c r="L6" s="597"/>
      <c r="M6" s="596"/>
      <c r="N6" s="597"/>
      <c r="O6" s="596"/>
      <c r="P6" s="597"/>
      <c r="Q6" s="596"/>
      <c r="R6" s="597"/>
      <c r="S6" s="596"/>
      <c r="T6" s="597"/>
      <c r="U6" s="596"/>
      <c r="V6" s="597"/>
      <c r="W6" s="596"/>
      <c r="X6" s="597"/>
      <c r="Y6" s="596"/>
      <c r="Z6" s="597"/>
      <c r="AA6" s="596"/>
      <c r="AB6" s="597"/>
      <c r="AC6" s="596"/>
      <c r="AD6" s="597"/>
      <c r="AE6" s="596"/>
      <c r="AF6" s="597"/>
      <c r="AG6" s="596"/>
      <c r="AH6" s="597"/>
      <c r="AI6" s="596"/>
      <c r="AJ6" s="597"/>
      <c r="AK6" s="596"/>
      <c r="AL6" s="597"/>
      <c r="AM6" s="596"/>
      <c r="AN6" s="597"/>
      <c r="AO6" s="596"/>
      <c r="AP6" s="597"/>
      <c r="AQ6" s="596"/>
      <c r="AR6" s="597"/>
      <c r="AS6" s="596"/>
      <c r="AT6" s="597"/>
      <c r="AU6" s="418">
        <f>SUM(S6,U6,W6,Y6,C6,E6,G6,I6,K6,M6,O6,Q6,AA6,AC6,AE6,AG6,AI6,AK6,AM6,AO6,AQ6,AS6)</f>
        <v>0</v>
      </c>
      <c r="AV6" s="419">
        <f>SUM(T6,V6,X6,Z6,D6,F6,H6,J6,L6,N6,P6,R6,AB6,AD6,AF6,AH6,AJ6,AL6,AN6,AP6,AR6,AT6)</f>
        <v>0</v>
      </c>
      <c r="AW6" s="618" t="str">
        <f>IF((AU6+AV6)=(AX6+AY6),"OK","Controllare totale")</f>
        <v>OK</v>
      </c>
      <c r="AX6" s="619">
        <f>'t1'!K6-'t3'!C6-'t3'!E6-'t3'!G6-'t3'!I6+'t3'!K6+'t3'!M6+'t3'!O6</f>
        <v>0</v>
      </c>
      <c r="AY6" s="620">
        <f>'t1'!L6-'t3'!D6-'t3'!F6-'t3'!H6-'t3'!J6+'t3'!L6+'t3'!N6+'t3'!P6</f>
        <v>0</v>
      </c>
      <c r="AZ6" s="714">
        <f>'t1'!M6</f>
        <v>0</v>
      </c>
    </row>
    <row r="7" spans="1:52" ht="12.75" customHeight="1" x14ac:dyDescent="0.2">
      <c r="A7" s="16" t="str">
        <f>'t1'!A7</f>
        <v>DIRIGENTE I FASCIA</v>
      </c>
      <c r="B7" s="134" t="str">
        <f>'t1'!B7</f>
        <v>0D0077</v>
      </c>
      <c r="C7" s="189"/>
      <c r="D7" s="226"/>
      <c r="E7" s="189"/>
      <c r="F7" s="226"/>
      <c r="G7" s="189"/>
      <c r="H7" s="226"/>
      <c r="I7" s="189"/>
      <c r="J7" s="226"/>
      <c r="K7" s="189"/>
      <c r="L7" s="226"/>
      <c r="M7" s="189"/>
      <c r="N7" s="226"/>
      <c r="O7" s="189"/>
      <c r="P7" s="226"/>
      <c r="Q7" s="189"/>
      <c r="R7" s="226"/>
      <c r="S7" s="189"/>
      <c r="T7" s="226"/>
      <c r="U7" s="189"/>
      <c r="V7" s="226"/>
      <c r="W7" s="189"/>
      <c r="X7" s="226"/>
      <c r="Y7" s="189"/>
      <c r="Z7" s="226"/>
      <c r="AA7" s="189"/>
      <c r="AB7" s="226"/>
      <c r="AC7" s="189"/>
      <c r="AD7" s="226"/>
      <c r="AE7" s="189"/>
      <c r="AF7" s="226"/>
      <c r="AG7" s="189"/>
      <c r="AH7" s="226"/>
      <c r="AI7" s="189"/>
      <c r="AJ7" s="226"/>
      <c r="AK7" s="189"/>
      <c r="AL7" s="226"/>
      <c r="AM7" s="189"/>
      <c r="AN7" s="226"/>
      <c r="AO7" s="189"/>
      <c r="AP7" s="226"/>
      <c r="AQ7" s="189"/>
      <c r="AR7" s="226"/>
      <c r="AS7" s="189"/>
      <c r="AT7" s="226"/>
      <c r="AU7" s="420">
        <f>SUM(C7,E7,G7,I7,K7,M7,O7,Q7,S7,U7,W7,Y7,AA7,AC7,AE7,AG7,AI7,AK7,AM7,AO7,AQ7,AS7)</f>
        <v>0</v>
      </c>
      <c r="AV7" s="381">
        <f t="shared" ref="AV7:AV20" si="0">SUM(T7,V7,X7,Z7,D7,F7,H7,J7,L7,N7,P7,R7,AB7,AD7,AF7,AH7,AJ7,AL7,AN7,AP7,AR7,AT7)</f>
        <v>0</v>
      </c>
      <c r="AW7" s="618" t="str">
        <f t="shared" ref="AW7:AW20" si="1">IF((AU7+AV7)=(AX7+AY7),"OK","Controllare totale")</f>
        <v>OK</v>
      </c>
      <c r="AX7" s="621">
        <f>'t1'!K7-'t3'!C7-'t3'!E7-'t3'!G7-'t3'!I7+'t3'!K7+'t3'!M7+'t3'!O7</f>
        <v>0</v>
      </c>
      <c r="AY7" s="622">
        <f>'t1'!L7-'t3'!D7-'t3'!F7-'t3'!H7-'t3'!J7+'t3'!L7+'t3'!N7+'t3'!P7</f>
        <v>0</v>
      </c>
      <c r="AZ7" s="714">
        <f>'t1'!M7</f>
        <v>0</v>
      </c>
    </row>
    <row r="8" spans="1:52" ht="12.75" customHeight="1" x14ac:dyDescent="0.2">
      <c r="A8" s="16" t="str">
        <f>'t1'!A8</f>
        <v>DIRIGENTE I FASCIA A TEMPO DETERM.</v>
      </c>
      <c r="B8" s="134" t="str">
        <f>'t1'!B8</f>
        <v>0D0078</v>
      </c>
      <c r="C8" s="189"/>
      <c r="D8" s="226"/>
      <c r="E8" s="189"/>
      <c r="F8" s="226"/>
      <c r="G8" s="189"/>
      <c r="H8" s="226"/>
      <c r="I8" s="189"/>
      <c r="J8" s="226"/>
      <c r="K8" s="189"/>
      <c r="L8" s="226"/>
      <c r="M8" s="189"/>
      <c r="N8" s="226"/>
      <c r="O8" s="189"/>
      <c r="P8" s="226"/>
      <c r="Q8" s="189"/>
      <c r="R8" s="226"/>
      <c r="S8" s="189"/>
      <c r="T8" s="226"/>
      <c r="U8" s="189"/>
      <c r="V8" s="226"/>
      <c r="W8" s="189"/>
      <c r="X8" s="226"/>
      <c r="Y8" s="189"/>
      <c r="Z8" s="226"/>
      <c r="AA8" s="189"/>
      <c r="AB8" s="226"/>
      <c r="AC8" s="189"/>
      <c r="AD8" s="226"/>
      <c r="AE8" s="189"/>
      <c r="AF8" s="226"/>
      <c r="AG8" s="189"/>
      <c r="AH8" s="226"/>
      <c r="AI8" s="189"/>
      <c r="AJ8" s="226"/>
      <c r="AK8" s="189"/>
      <c r="AL8" s="226"/>
      <c r="AM8" s="189"/>
      <c r="AN8" s="226"/>
      <c r="AO8" s="189"/>
      <c r="AP8" s="226"/>
      <c r="AQ8" s="189"/>
      <c r="AR8" s="226"/>
      <c r="AS8" s="189"/>
      <c r="AT8" s="226"/>
      <c r="AU8" s="420">
        <f>SUM(S8,U8,W8,Y8,C8,E8,G8,I8,K8,M8,O8,Q8,AA8,AC8,AE8,AG8,AI8,AK8,AM8,AO8,AQ8,AS8)</f>
        <v>0</v>
      </c>
      <c r="AV8" s="381">
        <f t="shared" si="0"/>
        <v>0</v>
      </c>
      <c r="AW8" s="618" t="str">
        <f t="shared" si="1"/>
        <v>OK</v>
      </c>
      <c r="AX8" s="621">
        <f>'t1'!K8-'t3'!C8-'t3'!E8-'t3'!G8-'t3'!I8+'t3'!K8+'t3'!M8+'t3'!O8</f>
        <v>0</v>
      </c>
      <c r="AY8" s="622">
        <f>'t1'!L8-'t3'!D8-'t3'!F8-'t3'!H8-'t3'!J8+'t3'!L8+'t3'!N8+'t3'!P8</f>
        <v>0</v>
      </c>
      <c r="AZ8" s="714">
        <f>'t1'!M8</f>
        <v>0</v>
      </c>
    </row>
    <row r="9" spans="1:52" ht="12.75" customHeight="1" x14ac:dyDescent="0.2">
      <c r="A9" s="16" t="str">
        <f>'t1'!A9</f>
        <v>DIRIGENTE II FASCIA</v>
      </c>
      <c r="B9" s="134" t="str">
        <f>'t1'!B9</f>
        <v>0D0079</v>
      </c>
      <c r="C9" s="189"/>
      <c r="D9" s="226"/>
      <c r="E9" s="189"/>
      <c r="F9" s="226"/>
      <c r="G9" s="189"/>
      <c r="H9" s="226"/>
      <c r="I9" s="189"/>
      <c r="J9" s="226"/>
      <c r="K9" s="189"/>
      <c r="L9" s="226"/>
      <c r="M9" s="189"/>
      <c r="N9" s="226"/>
      <c r="O9" s="189"/>
      <c r="P9" s="226"/>
      <c r="Q9" s="189"/>
      <c r="R9" s="226"/>
      <c r="S9" s="189"/>
      <c r="T9" s="226"/>
      <c r="U9" s="189"/>
      <c r="V9" s="226"/>
      <c r="W9" s="189"/>
      <c r="X9" s="226"/>
      <c r="Y9" s="189"/>
      <c r="Z9" s="226"/>
      <c r="AA9" s="189"/>
      <c r="AB9" s="226"/>
      <c r="AC9" s="189"/>
      <c r="AD9" s="226"/>
      <c r="AE9" s="189"/>
      <c r="AF9" s="226"/>
      <c r="AG9" s="189"/>
      <c r="AH9" s="226"/>
      <c r="AI9" s="189"/>
      <c r="AJ9" s="226"/>
      <c r="AK9" s="189"/>
      <c r="AL9" s="226"/>
      <c r="AM9" s="189"/>
      <c r="AN9" s="226"/>
      <c r="AO9" s="189"/>
      <c r="AP9" s="226"/>
      <c r="AQ9" s="189"/>
      <c r="AR9" s="226"/>
      <c r="AS9" s="189"/>
      <c r="AT9" s="226"/>
      <c r="AU9" s="420">
        <f t="shared" ref="AU9:AU20" si="2">SUM(S9,U9,W9,Y9,C9,E9,G9,I9,K9,M9,O9,Q9,AA9,AC9,AE9,AG9,AI9,AK9,AM9,AO9,AQ9,AS9)</f>
        <v>0</v>
      </c>
      <c r="AV9" s="381">
        <f t="shared" si="0"/>
        <v>0</v>
      </c>
      <c r="AW9" s="618" t="str">
        <f t="shared" si="1"/>
        <v>OK</v>
      </c>
      <c r="AX9" s="621">
        <f>'t1'!K9-'t3'!C9-'t3'!E9-'t3'!G9-'t3'!I9+'t3'!K9+'t3'!M9+'t3'!O9</f>
        <v>0</v>
      </c>
      <c r="AY9" s="622">
        <f>'t1'!L9-'t3'!D9-'t3'!F9-'t3'!H9-'t3'!J9+'t3'!L9+'t3'!N9+'t3'!P9</f>
        <v>0</v>
      </c>
      <c r="AZ9" s="714">
        <f>'t1'!M9</f>
        <v>0</v>
      </c>
    </row>
    <row r="10" spans="1:52" ht="12.75" customHeight="1" x14ac:dyDescent="0.2">
      <c r="A10" s="16" t="str">
        <f>'t1'!A10</f>
        <v>DIRIGENTE II FASCIA A TEMPO DETERM.</v>
      </c>
      <c r="B10" s="134" t="str">
        <f>'t1'!B10</f>
        <v>0D0080</v>
      </c>
      <c r="C10" s="189"/>
      <c r="D10" s="226"/>
      <c r="E10" s="189"/>
      <c r="F10" s="226"/>
      <c r="G10" s="189"/>
      <c r="H10" s="226"/>
      <c r="I10" s="189"/>
      <c r="J10" s="226"/>
      <c r="K10" s="189"/>
      <c r="L10" s="226"/>
      <c r="M10" s="189"/>
      <c r="N10" s="226"/>
      <c r="O10" s="189"/>
      <c r="P10" s="226"/>
      <c r="Q10" s="189"/>
      <c r="R10" s="226"/>
      <c r="S10" s="189"/>
      <c r="T10" s="226"/>
      <c r="U10" s="189"/>
      <c r="V10" s="226"/>
      <c r="W10" s="189"/>
      <c r="X10" s="226"/>
      <c r="Y10" s="189"/>
      <c r="Z10" s="226"/>
      <c r="AA10" s="189"/>
      <c r="AB10" s="226"/>
      <c r="AC10" s="189"/>
      <c r="AD10" s="226"/>
      <c r="AE10" s="189"/>
      <c r="AF10" s="226"/>
      <c r="AG10" s="189"/>
      <c r="AH10" s="226"/>
      <c r="AI10" s="189"/>
      <c r="AJ10" s="226"/>
      <c r="AK10" s="189"/>
      <c r="AL10" s="226"/>
      <c r="AM10" s="189"/>
      <c r="AN10" s="226"/>
      <c r="AO10" s="189"/>
      <c r="AP10" s="226"/>
      <c r="AQ10" s="189"/>
      <c r="AR10" s="226"/>
      <c r="AS10" s="189"/>
      <c r="AT10" s="226"/>
      <c r="AU10" s="420">
        <f t="shared" si="2"/>
        <v>0</v>
      </c>
      <c r="AV10" s="381">
        <f t="shared" si="0"/>
        <v>0</v>
      </c>
      <c r="AW10" s="618" t="str">
        <f t="shared" si="1"/>
        <v>OK</v>
      </c>
      <c r="AX10" s="621">
        <f>'t1'!K10-'t3'!C10-'t3'!E10-'t3'!G10-'t3'!I10+'t3'!K10+'t3'!M10+'t3'!O10</f>
        <v>0</v>
      </c>
      <c r="AY10" s="622">
        <f>'t1'!L10-'t3'!D10-'t3'!F10-'t3'!H10-'t3'!J10+'t3'!L10+'t3'!N10+'t3'!P10</f>
        <v>0</v>
      </c>
      <c r="AZ10" s="714">
        <f>'t1'!M10</f>
        <v>0</v>
      </c>
    </row>
    <row r="11" spans="1:52" ht="12.75" customHeight="1" x14ac:dyDescent="0.2">
      <c r="A11" s="16" t="str">
        <f>'t1'!A11</f>
        <v>MEDICO II FASCIA T.P.</v>
      </c>
      <c r="B11" s="134" t="str">
        <f>'t1'!B11</f>
        <v>0D0584</v>
      </c>
      <c r="C11" s="189"/>
      <c r="D11" s="226"/>
      <c r="E11" s="189"/>
      <c r="F11" s="226"/>
      <c r="G11" s="189"/>
      <c r="H11" s="226"/>
      <c r="I11" s="189"/>
      <c r="J11" s="226"/>
      <c r="K11" s="189"/>
      <c r="L11" s="226"/>
      <c r="M11" s="189"/>
      <c r="N11" s="226"/>
      <c r="O11" s="189"/>
      <c r="P11" s="226"/>
      <c r="Q11" s="189"/>
      <c r="R11" s="226"/>
      <c r="S11" s="189"/>
      <c r="T11" s="226"/>
      <c r="U11" s="189"/>
      <c r="V11" s="226"/>
      <c r="W11" s="189"/>
      <c r="X11" s="226"/>
      <c r="Y11" s="189"/>
      <c r="Z11" s="226"/>
      <c r="AA11" s="189"/>
      <c r="AB11" s="226"/>
      <c r="AC11" s="189"/>
      <c r="AD11" s="226"/>
      <c r="AE11" s="189"/>
      <c r="AF11" s="226"/>
      <c r="AG11" s="189"/>
      <c r="AH11" s="226"/>
      <c r="AI11" s="189"/>
      <c r="AJ11" s="226"/>
      <c r="AK11" s="189"/>
      <c r="AL11" s="226"/>
      <c r="AM11" s="189"/>
      <c r="AN11" s="226"/>
      <c r="AO11" s="189"/>
      <c r="AP11" s="226"/>
      <c r="AQ11" s="189"/>
      <c r="AR11" s="226"/>
      <c r="AS11" s="189"/>
      <c r="AT11" s="226"/>
      <c r="AU11" s="420">
        <f t="shared" si="2"/>
        <v>0</v>
      </c>
      <c r="AV11" s="381">
        <f t="shared" si="0"/>
        <v>0</v>
      </c>
      <c r="AW11" s="618" t="str">
        <f t="shared" si="1"/>
        <v>OK</v>
      </c>
      <c r="AX11" s="621">
        <f>'t1'!K11-'t3'!C11-'t3'!E11-'t3'!G11-'t3'!I11+'t3'!K11+'t3'!M11+'t3'!O11</f>
        <v>0</v>
      </c>
      <c r="AY11" s="622">
        <f>'t1'!L11-'t3'!D11-'t3'!F11-'t3'!H11-'t3'!J11+'t3'!L11+'t3'!N11+'t3'!P11</f>
        <v>0</v>
      </c>
      <c r="AZ11" s="714">
        <f>'t1'!M11</f>
        <v>0</v>
      </c>
    </row>
    <row r="12" spans="1:52" ht="12.75" customHeight="1" x14ac:dyDescent="0.2">
      <c r="A12" s="16" t="str">
        <f>'t1'!A12</f>
        <v>MEDICO I FASCIA T.P.</v>
      </c>
      <c r="B12" s="134" t="str">
        <f>'t1'!B12</f>
        <v>0D0585</v>
      </c>
      <c r="C12" s="189"/>
      <c r="D12" s="226"/>
      <c r="E12" s="189"/>
      <c r="F12" s="226"/>
      <c r="G12" s="189"/>
      <c r="H12" s="226"/>
      <c r="I12" s="189"/>
      <c r="J12" s="226"/>
      <c r="K12" s="189"/>
      <c r="L12" s="226"/>
      <c r="M12" s="189"/>
      <c r="N12" s="226"/>
      <c r="O12" s="189"/>
      <c r="P12" s="226"/>
      <c r="Q12" s="189"/>
      <c r="R12" s="226"/>
      <c r="S12" s="189"/>
      <c r="T12" s="226"/>
      <c r="U12" s="189"/>
      <c r="V12" s="226"/>
      <c r="W12" s="189"/>
      <c r="X12" s="226"/>
      <c r="Y12" s="189"/>
      <c r="Z12" s="226"/>
      <c r="AA12" s="189"/>
      <c r="AB12" s="226"/>
      <c r="AC12" s="189"/>
      <c r="AD12" s="226"/>
      <c r="AE12" s="189"/>
      <c r="AF12" s="226"/>
      <c r="AG12" s="189"/>
      <c r="AH12" s="226"/>
      <c r="AI12" s="189"/>
      <c r="AJ12" s="226"/>
      <c r="AK12" s="189"/>
      <c r="AL12" s="226"/>
      <c r="AM12" s="189"/>
      <c r="AN12" s="226"/>
      <c r="AO12" s="189"/>
      <c r="AP12" s="226"/>
      <c r="AQ12" s="189"/>
      <c r="AR12" s="226"/>
      <c r="AS12" s="189"/>
      <c r="AT12" s="226"/>
      <c r="AU12" s="420">
        <f t="shared" si="2"/>
        <v>0</v>
      </c>
      <c r="AV12" s="381">
        <f t="shared" si="0"/>
        <v>0</v>
      </c>
      <c r="AW12" s="618" t="str">
        <f t="shared" si="1"/>
        <v>OK</v>
      </c>
      <c r="AX12" s="621">
        <f>'t1'!K12-'t3'!C12-'t3'!E12-'t3'!G12-'t3'!I12+'t3'!K12+'t3'!M12+'t3'!O12</f>
        <v>0</v>
      </c>
      <c r="AY12" s="622">
        <f>'t1'!L12-'t3'!D12-'t3'!F12-'t3'!H12-'t3'!J12+'t3'!L12+'t3'!N12+'t3'!P12</f>
        <v>0</v>
      </c>
      <c r="AZ12" s="714">
        <f>'t1'!M12</f>
        <v>0</v>
      </c>
    </row>
    <row r="13" spans="1:52" ht="12.75" customHeight="1" x14ac:dyDescent="0.2">
      <c r="A13" s="16" t="str">
        <f>'t1'!A13</f>
        <v>MEDICO II FASCIA T.D.</v>
      </c>
      <c r="B13" s="134" t="str">
        <f>'t1'!B13</f>
        <v>0D0586</v>
      </c>
      <c r="C13" s="189"/>
      <c r="D13" s="226"/>
      <c r="E13" s="189"/>
      <c r="F13" s="226"/>
      <c r="G13" s="189"/>
      <c r="H13" s="226"/>
      <c r="I13" s="189"/>
      <c r="J13" s="226"/>
      <c r="K13" s="189"/>
      <c r="L13" s="226"/>
      <c r="M13" s="189"/>
      <c r="N13" s="226"/>
      <c r="O13" s="189"/>
      <c r="P13" s="226"/>
      <c r="Q13" s="189"/>
      <c r="R13" s="226"/>
      <c r="S13" s="189"/>
      <c r="T13" s="226"/>
      <c r="U13" s="189"/>
      <c r="V13" s="226"/>
      <c r="W13" s="189"/>
      <c r="X13" s="226"/>
      <c r="Y13" s="189"/>
      <c r="Z13" s="226"/>
      <c r="AA13" s="189"/>
      <c r="AB13" s="226"/>
      <c r="AC13" s="189"/>
      <c r="AD13" s="226"/>
      <c r="AE13" s="189"/>
      <c r="AF13" s="226"/>
      <c r="AG13" s="189"/>
      <c r="AH13" s="226"/>
      <c r="AI13" s="189"/>
      <c r="AJ13" s="226"/>
      <c r="AK13" s="189"/>
      <c r="AL13" s="226"/>
      <c r="AM13" s="189"/>
      <c r="AN13" s="226"/>
      <c r="AO13" s="189"/>
      <c r="AP13" s="226"/>
      <c r="AQ13" s="189"/>
      <c r="AR13" s="226"/>
      <c r="AS13" s="189"/>
      <c r="AT13" s="226"/>
      <c r="AU13" s="420">
        <f t="shared" si="2"/>
        <v>0</v>
      </c>
      <c r="AV13" s="381">
        <f t="shared" si="0"/>
        <v>0</v>
      </c>
      <c r="AW13" s="618" t="str">
        <f t="shared" si="1"/>
        <v>OK</v>
      </c>
      <c r="AX13" s="621">
        <f>'t1'!K13-'t3'!C13-'t3'!E13-'t3'!G13-'t3'!I13+'t3'!K13+'t3'!M13+'t3'!O13</f>
        <v>0</v>
      </c>
      <c r="AY13" s="622">
        <f>'t1'!L13-'t3'!D13-'t3'!F13-'t3'!H13-'t3'!J13+'t3'!L13+'t3'!N13+'t3'!P13</f>
        <v>0</v>
      </c>
      <c r="AZ13" s="714">
        <f>'t1'!M13</f>
        <v>0</v>
      </c>
    </row>
    <row r="14" spans="1:52" ht="12.75" customHeight="1" x14ac:dyDescent="0.2">
      <c r="A14" s="16" t="str">
        <f>'t1'!A14</f>
        <v>MEDICO I FASCIA T.D.</v>
      </c>
      <c r="B14" s="134" t="str">
        <f>'t1'!B14</f>
        <v>0D0496</v>
      </c>
      <c r="C14" s="189"/>
      <c r="D14" s="226"/>
      <c r="E14" s="189"/>
      <c r="F14" s="226"/>
      <c r="G14" s="189"/>
      <c r="H14" s="226"/>
      <c r="I14" s="189"/>
      <c r="J14" s="226"/>
      <c r="K14" s="189"/>
      <c r="L14" s="226"/>
      <c r="M14" s="189"/>
      <c r="N14" s="226"/>
      <c r="O14" s="189"/>
      <c r="P14" s="226"/>
      <c r="Q14" s="189"/>
      <c r="R14" s="226"/>
      <c r="S14" s="189"/>
      <c r="T14" s="226"/>
      <c r="U14" s="189"/>
      <c r="V14" s="226"/>
      <c r="W14" s="189"/>
      <c r="X14" s="226"/>
      <c r="Y14" s="189"/>
      <c r="Z14" s="226"/>
      <c r="AA14" s="189"/>
      <c r="AB14" s="226"/>
      <c r="AC14" s="189"/>
      <c r="AD14" s="226"/>
      <c r="AE14" s="189"/>
      <c r="AF14" s="226"/>
      <c r="AG14" s="189"/>
      <c r="AH14" s="226"/>
      <c r="AI14" s="189"/>
      <c r="AJ14" s="226"/>
      <c r="AK14" s="189"/>
      <c r="AL14" s="226"/>
      <c r="AM14" s="189"/>
      <c r="AN14" s="226"/>
      <c r="AO14" s="189"/>
      <c r="AP14" s="226"/>
      <c r="AQ14" s="189"/>
      <c r="AR14" s="226"/>
      <c r="AS14" s="189"/>
      <c r="AT14" s="226"/>
      <c r="AU14" s="420">
        <f t="shared" si="2"/>
        <v>0</v>
      </c>
      <c r="AV14" s="381">
        <f t="shared" si="0"/>
        <v>0</v>
      </c>
      <c r="AW14" s="618" t="str">
        <f t="shared" si="1"/>
        <v>OK</v>
      </c>
      <c r="AX14" s="621">
        <f>'t1'!K14-'t3'!C14-'t3'!E14-'t3'!G14-'t3'!I14+'t3'!K14+'t3'!M14+'t3'!O14</f>
        <v>0</v>
      </c>
      <c r="AY14" s="622">
        <f>'t1'!L14-'t3'!D14-'t3'!F14-'t3'!H14-'t3'!J14+'t3'!L14+'t3'!N14+'t3'!P14</f>
        <v>0</v>
      </c>
      <c r="AZ14" s="714">
        <f>'t1'!M14</f>
        <v>0</v>
      </c>
    </row>
    <row r="15" spans="1:52" ht="12.75" customHeight="1" x14ac:dyDescent="0.2">
      <c r="A15" s="16" t="str">
        <f>'t1'!A15</f>
        <v>PROF.STI LEGALI LIV. II DIFF.</v>
      </c>
      <c r="B15" s="134" t="str">
        <f>'t1'!B15</f>
        <v>0D0473</v>
      </c>
      <c r="C15" s="189"/>
      <c r="D15" s="226"/>
      <c r="E15" s="189"/>
      <c r="F15" s="226"/>
      <c r="G15" s="189"/>
      <c r="H15" s="226"/>
      <c r="I15" s="189"/>
      <c r="J15" s="226"/>
      <c r="K15" s="189"/>
      <c r="L15" s="226"/>
      <c r="M15" s="189"/>
      <c r="N15" s="226"/>
      <c r="O15" s="189"/>
      <c r="P15" s="226"/>
      <c r="Q15" s="189"/>
      <c r="R15" s="226"/>
      <c r="S15" s="189"/>
      <c r="T15" s="226"/>
      <c r="U15" s="189"/>
      <c r="V15" s="226"/>
      <c r="W15" s="189"/>
      <c r="X15" s="226"/>
      <c r="Y15" s="189"/>
      <c r="Z15" s="226"/>
      <c r="AA15" s="189"/>
      <c r="AB15" s="226"/>
      <c r="AC15" s="189"/>
      <c r="AD15" s="226"/>
      <c r="AE15" s="189"/>
      <c r="AF15" s="226"/>
      <c r="AG15" s="189"/>
      <c r="AH15" s="226"/>
      <c r="AI15" s="189"/>
      <c r="AJ15" s="226"/>
      <c r="AK15" s="189"/>
      <c r="AL15" s="226"/>
      <c r="AM15" s="189"/>
      <c r="AN15" s="226"/>
      <c r="AO15" s="189"/>
      <c r="AP15" s="226"/>
      <c r="AQ15" s="189"/>
      <c r="AR15" s="226"/>
      <c r="AS15" s="189"/>
      <c r="AT15" s="226"/>
      <c r="AU15" s="420">
        <f t="shared" si="2"/>
        <v>0</v>
      </c>
      <c r="AV15" s="381">
        <f t="shared" si="0"/>
        <v>0</v>
      </c>
      <c r="AW15" s="618" t="str">
        <f t="shared" si="1"/>
        <v>OK</v>
      </c>
      <c r="AX15" s="621">
        <f>'t1'!K15-'t3'!C15-'t3'!E15-'t3'!G15-'t3'!I15+'t3'!K15+'t3'!M15+'t3'!O15</f>
        <v>0</v>
      </c>
      <c r="AY15" s="622">
        <f>'t1'!L15-'t3'!D15-'t3'!F15-'t3'!H15-'t3'!J15+'t3'!L15+'t3'!N15+'t3'!P15</f>
        <v>0</v>
      </c>
      <c r="AZ15" s="714">
        <f>'t1'!M15</f>
        <v>0</v>
      </c>
    </row>
    <row r="16" spans="1:52" ht="12.75" customHeight="1" x14ac:dyDescent="0.2">
      <c r="A16" s="16" t="str">
        <f>'t1'!A16</f>
        <v>PROF.STI LEGALI LIV. I DIFF.</v>
      </c>
      <c r="B16" s="134" t="str">
        <f>'t1'!B16</f>
        <v>0D0472</v>
      </c>
      <c r="C16" s="189"/>
      <c r="D16" s="226"/>
      <c r="E16" s="189"/>
      <c r="F16" s="226"/>
      <c r="G16" s="189"/>
      <c r="H16" s="226"/>
      <c r="I16" s="189"/>
      <c r="J16" s="226"/>
      <c r="K16" s="189"/>
      <c r="L16" s="226"/>
      <c r="M16" s="189"/>
      <c r="N16" s="226"/>
      <c r="O16" s="189"/>
      <c r="P16" s="226"/>
      <c r="Q16" s="189"/>
      <c r="R16" s="226"/>
      <c r="S16" s="189"/>
      <c r="T16" s="226"/>
      <c r="U16" s="189"/>
      <c r="V16" s="226"/>
      <c r="W16" s="189"/>
      <c r="X16" s="226"/>
      <c r="Y16" s="189"/>
      <c r="Z16" s="226"/>
      <c r="AA16" s="189"/>
      <c r="AB16" s="226"/>
      <c r="AC16" s="189"/>
      <c r="AD16" s="226"/>
      <c r="AE16" s="189"/>
      <c r="AF16" s="226"/>
      <c r="AG16" s="189"/>
      <c r="AH16" s="226"/>
      <c r="AI16" s="189"/>
      <c r="AJ16" s="226"/>
      <c r="AK16" s="189"/>
      <c r="AL16" s="226"/>
      <c r="AM16" s="189"/>
      <c r="AN16" s="226"/>
      <c r="AO16" s="189"/>
      <c r="AP16" s="226"/>
      <c r="AQ16" s="189"/>
      <c r="AR16" s="226"/>
      <c r="AS16" s="189"/>
      <c r="AT16" s="226"/>
      <c r="AU16" s="420">
        <f t="shared" si="2"/>
        <v>0</v>
      </c>
      <c r="AV16" s="381">
        <f t="shared" si="0"/>
        <v>0</v>
      </c>
      <c r="AW16" s="618" t="str">
        <f t="shared" si="1"/>
        <v>OK</v>
      </c>
      <c r="AX16" s="621">
        <f>'t1'!K16-'t3'!C16-'t3'!E16-'t3'!G16-'t3'!I16+'t3'!K16+'t3'!M16+'t3'!O16</f>
        <v>0</v>
      </c>
      <c r="AY16" s="622">
        <f>'t1'!L16-'t3'!D16-'t3'!F16-'t3'!H16-'t3'!J16+'t3'!L16+'t3'!N16+'t3'!P16</f>
        <v>0</v>
      </c>
      <c r="AZ16" s="714">
        <f>'t1'!M16</f>
        <v>0</v>
      </c>
    </row>
    <row r="17" spans="1:52" ht="12.75" customHeight="1" x14ac:dyDescent="0.2">
      <c r="A17" s="16" t="str">
        <f>'t1'!A17</f>
        <v>PROF.STI LEGALI</v>
      </c>
      <c r="B17" s="134" t="str">
        <f>'t1'!B17</f>
        <v>0D0084</v>
      </c>
      <c r="C17" s="189"/>
      <c r="D17" s="226"/>
      <c r="E17" s="189"/>
      <c r="F17" s="226"/>
      <c r="G17" s="189"/>
      <c r="H17" s="226"/>
      <c r="I17" s="189"/>
      <c r="J17" s="226"/>
      <c r="K17" s="189"/>
      <c r="L17" s="226"/>
      <c r="M17" s="189"/>
      <c r="N17" s="226"/>
      <c r="O17" s="189"/>
      <c r="P17" s="226"/>
      <c r="Q17" s="189"/>
      <c r="R17" s="226"/>
      <c r="S17" s="189"/>
      <c r="T17" s="226"/>
      <c r="U17" s="189"/>
      <c r="V17" s="226"/>
      <c r="W17" s="189"/>
      <c r="X17" s="226"/>
      <c r="Y17" s="189"/>
      <c r="Z17" s="226"/>
      <c r="AA17" s="189"/>
      <c r="AB17" s="226"/>
      <c r="AC17" s="189"/>
      <c r="AD17" s="226"/>
      <c r="AE17" s="189"/>
      <c r="AF17" s="226"/>
      <c r="AG17" s="189"/>
      <c r="AH17" s="226"/>
      <c r="AI17" s="189"/>
      <c r="AJ17" s="226"/>
      <c r="AK17" s="189"/>
      <c r="AL17" s="226"/>
      <c r="AM17" s="189"/>
      <c r="AN17" s="226"/>
      <c r="AO17" s="189"/>
      <c r="AP17" s="226"/>
      <c r="AQ17" s="189"/>
      <c r="AR17" s="226"/>
      <c r="AS17" s="189"/>
      <c r="AT17" s="226"/>
      <c r="AU17" s="420">
        <f t="shared" si="2"/>
        <v>0</v>
      </c>
      <c r="AV17" s="381">
        <f t="shared" si="0"/>
        <v>0</v>
      </c>
      <c r="AW17" s="618" t="str">
        <f t="shared" si="1"/>
        <v>OK</v>
      </c>
      <c r="AX17" s="621">
        <f>'t1'!K17-'t3'!C17-'t3'!E17-'t3'!G17-'t3'!I17+'t3'!K17+'t3'!M17+'t3'!O17</f>
        <v>0</v>
      </c>
      <c r="AY17" s="622">
        <f>'t1'!L17-'t3'!D17-'t3'!F17-'t3'!H17-'t3'!J17+'t3'!L17+'t3'!N17+'t3'!P17</f>
        <v>0</v>
      </c>
      <c r="AZ17" s="714">
        <f>'t1'!M17</f>
        <v>0</v>
      </c>
    </row>
    <row r="18" spans="1:52" ht="12.75" customHeight="1" x14ac:dyDescent="0.2">
      <c r="A18" s="16" t="str">
        <f>'t1'!A18</f>
        <v>ALTRI PROF.STI LIV. II DIFF.</v>
      </c>
      <c r="B18" s="134" t="str">
        <f>'t1'!B18</f>
        <v>0D0481</v>
      </c>
      <c r="C18" s="189"/>
      <c r="D18" s="226"/>
      <c r="E18" s="189"/>
      <c r="F18" s="226"/>
      <c r="G18" s="189"/>
      <c r="H18" s="226"/>
      <c r="I18" s="189"/>
      <c r="J18" s="226"/>
      <c r="K18" s="189"/>
      <c r="L18" s="226"/>
      <c r="M18" s="189"/>
      <c r="N18" s="226"/>
      <c r="O18" s="189"/>
      <c r="P18" s="226"/>
      <c r="Q18" s="189"/>
      <c r="R18" s="226"/>
      <c r="S18" s="189"/>
      <c r="T18" s="226"/>
      <c r="U18" s="189"/>
      <c r="V18" s="226"/>
      <c r="W18" s="189"/>
      <c r="X18" s="226"/>
      <c r="Y18" s="189"/>
      <c r="Z18" s="226"/>
      <c r="AA18" s="189"/>
      <c r="AB18" s="226"/>
      <c r="AC18" s="189"/>
      <c r="AD18" s="226"/>
      <c r="AE18" s="189"/>
      <c r="AF18" s="226"/>
      <c r="AG18" s="189"/>
      <c r="AH18" s="226"/>
      <c r="AI18" s="189"/>
      <c r="AJ18" s="226"/>
      <c r="AK18" s="189"/>
      <c r="AL18" s="226"/>
      <c r="AM18" s="189"/>
      <c r="AN18" s="226"/>
      <c r="AO18" s="189"/>
      <c r="AP18" s="226"/>
      <c r="AQ18" s="189"/>
      <c r="AR18" s="226"/>
      <c r="AS18" s="189"/>
      <c r="AT18" s="226"/>
      <c r="AU18" s="420">
        <f t="shared" si="2"/>
        <v>0</v>
      </c>
      <c r="AV18" s="381">
        <f t="shared" si="0"/>
        <v>0</v>
      </c>
      <c r="AW18" s="618" t="str">
        <f t="shared" si="1"/>
        <v>OK</v>
      </c>
      <c r="AX18" s="621">
        <f>'t1'!K18-'t3'!C18-'t3'!E18-'t3'!G18-'t3'!I18+'t3'!K18+'t3'!M18+'t3'!O18</f>
        <v>0</v>
      </c>
      <c r="AY18" s="622">
        <f>'t1'!L18-'t3'!D18-'t3'!F18-'t3'!H18-'t3'!J18+'t3'!L18+'t3'!N18+'t3'!P18</f>
        <v>0</v>
      </c>
      <c r="AZ18" s="714">
        <f>'t1'!M18</f>
        <v>0</v>
      </c>
    </row>
    <row r="19" spans="1:52" ht="12.75" customHeight="1" x14ac:dyDescent="0.2">
      <c r="A19" s="16" t="str">
        <f>'t1'!A19</f>
        <v>ALTRI PROF.STI LIV. I DIFF.</v>
      </c>
      <c r="B19" s="134" t="str">
        <f>'t1'!B19</f>
        <v>0D0480</v>
      </c>
      <c r="C19" s="189"/>
      <c r="D19" s="226"/>
      <c r="E19" s="189"/>
      <c r="F19" s="226"/>
      <c r="G19" s="189"/>
      <c r="H19" s="226"/>
      <c r="I19" s="189"/>
      <c r="J19" s="226"/>
      <c r="K19" s="189"/>
      <c r="L19" s="226"/>
      <c r="M19" s="189"/>
      <c r="N19" s="226"/>
      <c r="O19" s="189"/>
      <c r="P19" s="226"/>
      <c r="Q19" s="189"/>
      <c r="R19" s="226"/>
      <c r="S19" s="189"/>
      <c r="T19" s="226"/>
      <c r="U19" s="189"/>
      <c r="V19" s="226"/>
      <c r="W19" s="189"/>
      <c r="X19" s="226"/>
      <c r="Y19" s="189"/>
      <c r="Z19" s="226"/>
      <c r="AA19" s="189"/>
      <c r="AB19" s="226"/>
      <c r="AC19" s="189"/>
      <c r="AD19" s="226"/>
      <c r="AE19" s="189"/>
      <c r="AF19" s="226"/>
      <c r="AG19" s="189"/>
      <c r="AH19" s="226"/>
      <c r="AI19" s="189"/>
      <c r="AJ19" s="226"/>
      <c r="AK19" s="189"/>
      <c r="AL19" s="226"/>
      <c r="AM19" s="189"/>
      <c r="AN19" s="226"/>
      <c r="AO19" s="189"/>
      <c r="AP19" s="226"/>
      <c r="AQ19" s="189"/>
      <c r="AR19" s="226"/>
      <c r="AS19" s="189"/>
      <c r="AT19" s="226"/>
      <c r="AU19" s="420">
        <f t="shared" si="2"/>
        <v>0</v>
      </c>
      <c r="AV19" s="381">
        <f t="shared" si="0"/>
        <v>0</v>
      </c>
      <c r="AW19" s="618" t="str">
        <f t="shared" si="1"/>
        <v>OK</v>
      </c>
      <c r="AX19" s="621">
        <f>'t1'!K19-'t3'!C19-'t3'!E19-'t3'!G19-'t3'!I19+'t3'!K19+'t3'!M19+'t3'!O19</f>
        <v>0</v>
      </c>
      <c r="AY19" s="622">
        <f>'t1'!L19-'t3'!D19-'t3'!F19-'t3'!H19-'t3'!J19+'t3'!L19+'t3'!N19+'t3'!P19</f>
        <v>0</v>
      </c>
      <c r="AZ19" s="714">
        <f>'t1'!M19</f>
        <v>0</v>
      </c>
    </row>
    <row r="20" spans="1:52" ht="12.75" customHeight="1" x14ac:dyDescent="0.2">
      <c r="A20" s="16" t="str">
        <f>'t1'!A20</f>
        <v>ALTRI PROF.STI</v>
      </c>
      <c r="B20" s="134" t="str">
        <f>'t1'!B20</f>
        <v>0D0075</v>
      </c>
      <c r="C20" s="189"/>
      <c r="D20" s="226"/>
      <c r="E20" s="189"/>
      <c r="F20" s="226"/>
      <c r="G20" s="189"/>
      <c r="H20" s="226"/>
      <c r="I20" s="189"/>
      <c r="J20" s="226"/>
      <c r="K20" s="189"/>
      <c r="L20" s="226"/>
      <c r="M20" s="189"/>
      <c r="N20" s="226"/>
      <c r="O20" s="189"/>
      <c r="P20" s="226"/>
      <c r="Q20" s="189"/>
      <c r="R20" s="226"/>
      <c r="S20" s="189"/>
      <c r="T20" s="226"/>
      <c r="U20" s="189"/>
      <c r="V20" s="226"/>
      <c r="W20" s="189"/>
      <c r="X20" s="226"/>
      <c r="Y20" s="189"/>
      <c r="Z20" s="226"/>
      <c r="AA20" s="189"/>
      <c r="AB20" s="226"/>
      <c r="AC20" s="189"/>
      <c r="AD20" s="226"/>
      <c r="AE20" s="189"/>
      <c r="AF20" s="226"/>
      <c r="AG20" s="189"/>
      <c r="AH20" s="226"/>
      <c r="AI20" s="189"/>
      <c r="AJ20" s="226"/>
      <c r="AK20" s="189"/>
      <c r="AL20" s="226"/>
      <c r="AM20" s="189"/>
      <c r="AN20" s="226"/>
      <c r="AO20" s="189"/>
      <c r="AP20" s="226"/>
      <c r="AQ20" s="189"/>
      <c r="AR20" s="226"/>
      <c r="AS20" s="189"/>
      <c r="AT20" s="226"/>
      <c r="AU20" s="420">
        <f t="shared" si="2"/>
        <v>0</v>
      </c>
      <c r="AV20" s="381">
        <f t="shared" si="0"/>
        <v>0</v>
      </c>
      <c r="AW20" s="618" t="str">
        <f t="shared" si="1"/>
        <v>OK</v>
      </c>
      <c r="AX20" s="621">
        <f>'t1'!K20-'t3'!C20-'t3'!E20-'t3'!G20-'t3'!I20+'t3'!K20+'t3'!M20+'t3'!O20</f>
        <v>0</v>
      </c>
      <c r="AY20" s="622">
        <f>'t1'!L20-'t3'!D20-'t3'!F20-'t3'!H20-'t3'!J20+'t3'!L20+'t3'!N20+'t3'!P20</f>
        <v>0</v>
      </c>
      <c r="AZ20" s="714">
        <f>'t1'!M20</f>
        <v>0</v>
      </c>
    </row>
    <row r="21" spans="1:52" ht="12.75" customHeight="1" x14ac:dyDescent="0.2">
      <c r="A21" s="16" t="str">
        <f>'t1'!A21</f>
        <v>ELEVATE PROFESSIONALITA'</v>
      </c>
      <c r="B21" s="134" t="str">
        <f>'t1'!B21</f>
        <v>0EP981</v>
      </c>
      <c r="C21" s="189"/>
      <c r="D21" s="226"/>
      <c r="E21" s="189"/>
      <c r="F21" s="226"/>
      <c r="G21" s="189"/>
      <c r="H21" s="226"/>
      <c r="I21" s="189"/>
      <c r="J21" s="226"/>
      <c r="K21" s="189"/>
      <c r="L21" s="226"/>
      <c r="M21" s="189"/>
      <c r="N21" s="226"/>
      <c r="O21" s="189"/>
      <c r="P21" s="226"/>
      <c r="Q21" s="189"/>
      <c r="R21" s="226"/>
      <c r="S21" s="189"/>
      <c r="T21" s="226"/>
      <c r="U21" s="189"/>
      <c r="V21" s="226"/>
      <c r="W21" s="189"/>
      <c r="X21" s="226"/>
      <c r="Y21" s="189"/>
      <c r="Z21" s="226"/>
      <c r="AA21" s="189"/>
      <c r="AB21" s="226"/>
      <c r="AC21" s="189"/>
      <c r="AD21" s="226"/>
      <c r="AE21" s="189"/>
      <c r="AF21" s="226"/>
      <c r="AG21" s="189"/>
      <c r="AH21" s="226"/>
      <c r="AI21" s="189"/>
      <c r="AJ21" s="226"/>
      <c r="AK21" s="189"/>
      <c r="AL21" s="226"/>
      <c r="AM21" s="189"/>
      <c r="AN21" s="226"/>
      <c r="AO21" s="189"/>
      <c r="AP21" s="226"/>
      <c r="AQ21" s="189"/>
      <c r="AR21" s="226"/>
      <c r="AS21" s="189"/>
      <c r="AT21" s="226"/>
      <c r="AU21" s="420">
        <f t="shared" ref="AU21:AV25" si="3">SUM(S21,U21,W21,Y21,C21,E21,G21,I21,K21,M21,O21,Q21,AA21,AC21,AE21,AG21,AI21,AK21,AM21,AO21,AQ21,AS21)</f>
        <v>0</v>
      </c>
      <c r="AV21" s="381">
        <f t="shared" si="3"/>
        <v>0</v>
      </c>
      <c r="AW21" s="618" t="str">
        <f t="shared" ref="AW21:AW25" si="4">IF((AU21+AV21)=(AX21+AY21),"OK","Controllare totale")</f>
        <v>OK</v>
      </c>
      <c r="AX21" s="621">
        <f>'t1'!K21-'t3'!C21-'t3'!E21-'t3'!G21-'t3'!I21+'t3'!K21+'t3'!M21+'t3'!O21</f>
        <v>0</v>
      </c>
      <c r="AY21" s="622">
        <f>'t1'!L21-'t3'!D21-'t3'!F21-'t3'!H21-'t3'!J21+'t3'!L21+'t3'!N21+'t3'!P21</f>
        <v>0</v>
      </c>
      <c r="AZ21" s="714">
        <f>'t1'!M21</f>
        <v>0</v>
      </c>
    </row>
    <row r="22" spans="1:52" ht="12.75" customHeight="1" x14ac:dyDescent="0.2">
      <c r="A22" s="16" t="str">
        <f>'t1'!A22</f>
        <v>FUNZIONARI</v>
      </c>
      <c r="B22" s="134" t="str">
        <f>'t1'!B22</f>
        <v>0FZ000</v>
      </c>
      <c r="C22" s="189"/>
      <c r="D22" s="226"/>
      <c r="E22" s="189"/>
      <c r="F22" s="226"/>
      <c r="G22" s="189"/>
      <c r="H22" s="226"/>
      <c r="I22" s="189"/>
      <c r="J22" s="226"/>
      <c r="K22" s="189"/>
      <c r="L22" s="226"/>
      <c r="M22" s="189"/>
      <c r="N22" s="226"/>
      <c r="O22" s="189"/>
      <c r="P22" s="226"/>
      <c r="Q22" s="189"/>
      <c r="R22" s="226"/>
      <c r="S22" s="189"/>
      <c r="T22" s="226"/>
      <c r="U22" s="189"/>
      <c r="V22" s="226"/>
      <c r="W22" s="189"/>
      <c r="X22" s="226"/>
      <c r="Y22" s="189"/>
      <c r="Z22" s="226"/>
      <c r="AA22" s="189"/>
      <c r="AB22" s="226"/>
      <c r="AC22" s="189"/>
      <c r="AD22" s="226"/>
      <c r="AE22" s="189"/>
      <c r="AF22" s="226"/>
      <c r="AG22" s="189"/>
      <c r="AH22" s="226"/>
      <c r="AI22" s="189"/>
      <c r="AJ22" s="226"/>
      <c r="AK22" s="189"/>
      <c r="AL22" s="226"/>
      <c r="AM22" s="189"/>
      <c r="AN22" s="226"/>
      <c r="AO22" s="189"/>
      <c r="AP22" s="226"/>
      <c r="AQ22" s="189"/>
      <c r="AR22" s="226"/>
      <c r="AS22" s="189"/>
      <c r="AT22" s="226"/>
      <c r="AU22" s="420">
        <f t="shared" si="3"/>
        <v>0</v>
      </c>
      <c r="AV22" s="381">
        <f t="shared" si="3"/>
        <v>0</v>
      </c>
      <c r="AW22" s="618" t="str">
        <f t="shared" si="4"/>
        <v>OK</v>
      </c>
      <c r="AX22" s="621">
        <f>'t1'!K22-'t3'!C22-'t3'!E22-'t3'!G22-'t3'!I22+'t3'!K22+'t3'!M22+'t3'!O22</f>
        <v>0</v>
      </c>
      <c r="AY22" s="622">
        <f>'t1'!L22-'t3'!D22-'t3'!F22-'t3'!H22-'t3'!J22+'t3'!L22+'t3'!N22+'t3'!P22</f>
        <v>0</v>
      </c>
      <c r="AZ22" s="714">
        <f>'t1'!M22</f>
        <v>0</v>
      </c>
    </row>
    <row r="23" spans="1:52" ht="12.75" customHeight="1" x14ac:dyDescent="0.2">
      <c r="A23" s="16" t="str">
        <f>'t1'!A23</f>
        <v>ASSISTENTI</v>
      </c>
      <c r="B23" s="134" t="str">
        <f>'t1'!B23</f>
        <v>0AS000</v>
      </c>
      <c r="C23" s="189"/>
      <c r="D23" s="226"/>
      <c r="E23" s="189"/>
      <c r="F23" s="226"/>
      <c r="G23" s="189"/>
      <c r="H23" s="226"/>
      <c r="I23" s="189"/>
      <c r="J23" s="226"/>
      <c r="K23" s="189"/>
      <c r="L23" s="226"/>
      <c r="M23" s="189"/>
      <c r="N23" s="226"/>
      <c r="O23" s="189"/>
      <c r="P23" s="226"/>
      <c r="Q23" s="189"/>
      <c r="R23" s="226"/>
      <c r="S23" s="189"/>
      <c r="T23" s="226"/>
      <c r="U23" s="189"/>
      <c r="V23" s="226"/>
      <c r="W23" s="189"/>
      <c r="X23" s="226"/>
      <c r="Y23" s="189"/>
      <c r="Z23" s="226"/>
      <c r="AA23" s="189"/>
      <c r="AB23" s="226"/>
      <c r="AC23" s="189"/>
      <c r="AD23" s="226"/>
      <c r="AE23" s="189"/>
      <c r="AF23" s="226"/>
      <c r="AG23" s="189"/>
      <c r="AH23" s="226"/>
      <c r="AI23" s="189"/>
      <c r="AJ23" s="226"/>
      <c r="AK23" s="189"/>
      <c r="AL23" s="226"/>
      <c r="AM23" s="189"/>
      <c r="AN23" s="226"/>
      <c r="AO23" s="189"/>
      <c r="AP23" s="226"/>
      <c r="AQ23" s="189"/>
      <c r="AR23" s="226"/>
      <c r="AS23" s="189"/>
      <c r="AT23" s="226"/>
      <c r="AU23" s="420">
        <f t="shared" si="3"/>
        <v>0</v>
      </c>
      <c r="AV23" s="381">
        <f t="shared" si="3"/>
        <v>0</v>
      </c>
      <c r="AW23" s="618" t="str">
        <f t="shared" si="4"/>
        <v>OK</v>
      </c>
      <c r="AX23" s="621">
        <f>'t1'!K23-'t3'!C23-'t3'!E23-'t3'!G23-'t3'!I23+'t3'!K23+'t3'!M23+'t3'!O23</f>
        <v>0</v>
      </c>
      <c r="AY23" s="622">
        <f>'t1'!L23-'t3'!D23-'t3'!F23-'t3'!H23-'t3'!J23+'t3'!L23+'t3'!N23+'t3'!P23</f>
        <v>0</v>
      </c>
      <c r="AZ23" s="714">
        <f>'t1'!M23</f>
        <v>0</v>
      </c>
    </row>
    <row r="24" spans="1:52" ht="12.75" customHeight="1" x14ac:dyDescent="0.2">
      <c r="A24" s="16" t="str">
        <f>'t1'!A24</f>
        <v>OPERATORI</v>
      </c>
      <c r="B24" s="134" t="str">
        <f>'t1'!B24</f>
        <v>0OP000</v>
      </c>
      <c r="C24" s="189"/>
      <c r="D24" s="226"/>
      <c r="E24" s="189"/>
      <c r="F24" s="226"/>
      <c r="G24" s="189"/>
      <c r="H24" s="226"/>
      <c r="I24" s="189"/>
      <c r="J24" s="226"/>
      <c r="K24" s="189"/>
      <c r="L24" s="226"/>
      <c r="M24" s="189"/>
      <c r="N24" s="226"/>
      <c r="O24" s="189"/>
      <c r="P24" s="226"/>
      <c r="Q24" s="189"/>
      <c r="R24" s="226"/>
      <c r="S24" s="189"/>
      <c r="T24" s="226"/>
      <c r="U24" s="189"/>
      <c r="V24" s="226"/>
      <c r="W24" s="189"/>
      <c r="X24" s="226"/>
      <c r="Y24" s="189"/>
      <c r="Z24" s="226"/>
      <c r="AA24" s="189"/>
      <c r="AB24" s="226"/>
      <c r="AC24" s="189"/>
      <c r="AD24" s="226"/>
      <c r="AE24" s="189"/>
      <c r="AF24" s="226"/>
      <c r="AG24" s="189"/>
      <c r="AH24" s="226"/>
      <c r="AI24" s="189"/>
      <c r="AJ24" s="226"/>
      <c r="AK24" s="189"/>
      <c r="AL24" s="226"/>
      <c r="AM24" s="189"/>
      <c r="AN24" s="226"/>
      <c r="AO24" s="189"/>
      <c r="AP24" s="226"/>
      <c r="AQ24" s="189"/>
      <c r="AR24" s="226"/>
      <c r="AS24" s="189"/>
      <c r="AT24" s="226"/>
      <c r="AU24" s="420">
        <f t="shared" si="3"/>
        <v>0</v>
      </c>
      <c r="AV24" s="381">
        <f t="shared" si="3"/>
        <v>0</v>
      </c>
      <c r="AW24" s="618" t="str">
        <f t="shared" si="4"/>
        <v>OK</v>
      </c>
      <c r="AX24" s="621">
        <f>'t1'!K24-'t3'!C24-'t3'!E24-'t3'!G24-'t3'!I24+'t3'!K24+'t3'!M24+'t3'!O24</f>
        <v>0</v>
      </c>
      <c r="AY24" s="622">
        <f>'t1'!L24-'t3'!D24-'t3'!F24-'t3'!H24-'t3'!J24+'t3'!L24+'t3'!N24+'t3'!P24</f>
        <v>0</v>
      </c>
      <c r="AZ24" s="714">
        <f>'t1'!M24</f>
        <v>0</v>
      </c>
    </row>
    <row r="25" spans="1:52" ht="12.75" customHeight="1" thickBot="1" x14ac:dyDescent="0.25">
      <c r="A25" s="16" t="str">
        <f>'t1'!A25</f>
        <v>CONTRATTISTI</v>
      </c>
      <c r="B25" s="134" t="str">
        <f>'t1'!B25</f>
        <v>000061</v>
      </c>
      <c r="C25" s="189"/>
      <c r="D25" s="226"/>
      <c r="E25" s="189"/>
      <c r="F25" s="226"/>
      <c r="G25" s="189"/>
      <c r="H25" s="226"/>
      <c r="I25" s="189"/>
      <c r="J25" s="226"/>
      <c r="K25" s="189"/>
      <c r="L25" s="226"/>
      <c r="M25" s="189"/>
      <c r="N25" s="226"/>
      <c r="O25" s="189"/>
      <c r="P25" s="226"/>
      <c r="Q25" s="189"/>
      <c r="R25" s="226"/>
      <c r="S25" s="189"/>
      <c r="T25" s="226"/>
      <c r="U25" s="189"/>
      <c r="V25" s="226"/>
      <c r="W25" s="189"/>
      <c r="X25" s="226"/>
      <c r="Y25" s="189"/>
      <c r="Z25" s="226"/>
      <c r="AA25" s="189"/>
      <c r="AB25" s="226"/>
      <c r="AC25" s="189"/>
      <c r="AD25" s="226"/>
      <c r="AE25" s="189"/>
      <c r="AF25" s="226"/>
      <c r="AG25" s="189"/>
      <c r="AH25" s="226"/>
      <c r="AI25" s="189"/>
      <c r="AJ25" s="226"/>
      <c r="AK25" s="189"/>
      <c r="AL25" s="226"/>
      <c r="AM25" s="189"/>
      <c r="AN25" s="226"/>
      <c r="AO25" s="189"/>
      <c r="AP25" s="226"/>
      <c r="AQ25" s="189"/>
      <c r="AR25" s="226"/>
      <c r="AS25" s="189"/>
      <c r="AT25" s="226"/>
      <c r="AU25" s="420">
        <f t="shared" si="3"/>
        <v>0</v>
      </c>
      <c r="AV25" s="381">
        <f t="shared" si="3"/>
        <v>0</v>
      </c>
      <c r="AW25" s="618" t="str">
        <f t="shared" si="4"/>
        <v>OK</v>
      </c>
      <c r="AX25" s="621">
        <f>'t1'!K25-'t3'!C25-'t3'!E25-'t3'!G25-'t3'!I25+'t3'!K25+'t3'!M25+'t3'!O25</f>
        <v>0</v>
      </c>
      <c r="AY25" s="622">
        <f>'t1'!L25-'t3'!D25-'t3'!F25-'t3'!H25-'t3'!J25+'t3'!L25+'t3'!N25+'t3'!P25</f>
        <v>0</v>
      </c>
      <c r="AZ25" s="714">
        <f>'t1'!M25</f>
        <v>0</v>
      </c>
    </row>
    <row r="26" spans="1:52" ht="17.25" customHeight="1" thickTop="1" thickBot="1" x14ac:dyDescent="0.25">
      <c r="A26" s="12" t="s">
        <v>60</v>
      </c>
      <c r="B26" s="136"/>
      <c r="C26" s="382">
        <f t="shared" ref="C26:AV26" si="5">SUM(C6:C25)</f>
        <v>0</v>
      </c>
      <c r="D26" s="383">
        <f t="shared" si="5"/>
        <v>0</v>
      </c>
      <c r="E26" s="382">
        <f t="shared" si="5"/>
        <v>0</v>
      </c>
      <c r="F26" s="383">
        <f t="shared" si="5"/>
        <v>0</v>
      </c>
      <c r="G26" s="382">
        <f t="shared" si="5"/>
        <v>0</v>
      </c>
      <c r="H26" s="383">
        <f t="shared" si="5"/>
        <v>0</v>
      </c>
      <c r="I26" s="382">
        <f t="shared" si="5"/>
        <v>0</v>
      </c>
      <c r="J26" s="383">
        <f t="shared" si="5"/>
        <v>0</v>
      </c>
      <c r="K26" s="382">
        <f t="shared" si="5"/>
        <v>0</v>
      </c>
      <c r="L26" s="383">
        <f t="shared" si="5"/>
        <v>0</v>
      </c>
      <c r="M26" s="382">
        <f t="shared" si="5"/>
        <v>0</v>
      </c>
      <c r="N26" s="383">
        <f t="shared" si="5"/>
        <v>0</v>
      </c>
      <c r="O26" s="382">
        <f t="shared" si="5"/>
        <v>0</v>
      </c>
      <c r="P26" s="383">
        <f t="shared" si="5"/>
        <v>0</v>
      </c>
      <c r="Q26" s="382">
        <f t="shared" si="5"/>
        <v>0</v>
      </c>
      <c r="R26" s="383">
        <f t="shared" si="5"/>
        <v>0</v>
      </c>
      <c r="S26" s="382">
        <f t="shared" si="5"/>
        <v>0</v>
      </c>
      <c r="T26" s="383">
        <f t="shared" si="5"/>
        <v>0</v>
      </c>
      <c r="U26" s="382">
        <f t="shared" si="5"/>
        <v>0</v>
      </c>
      <c r="V26" s="383">
        <f t="shared" si="5"/>
        <v>0</v>
      </c>
      <c r="W26" s="382">
        <f t="shared" si="5"/>
        <v>0</v>
      </c>
      <c r="X26" s="383">
        <f t="shared" si="5"/>
        <v>0</v>
      </c>
      <c r="Y26" s="382">
        <f t="shared" si="5"/>
        <v>0</v>
      </c>
      <c r="Z26" s="383">
        <f t="shared" si="5"/>
        <v>0</v>
      </c>
      <c r="AA26" s="382">
        <f t="shared" si="5"/>
        <v>0</v>
      </c>
      <c r="AB26" s="383">
        <f t="shared" si="5"/>
        <v>0</v>
      </c>
      <c r="AC26" s="382">
        <f t="shared" si="5"/>
        <v>0</v>
      </c>
      <c r="AD26" s="383">
        <f t="shared" si="5"/>
        <v>0</v>
      </c>
      <c r="AE26" s="382">
        <f t="shared" si="5"/>
        <v>0</v>
      </c>
      <c r="AF26" s="383">
        <f t="shared" si="5"/>
        <v>0</v>
      </c>
      <c r="AG26" s="382">
        <f t="shared" si="5"/>
        <v>0</v>
      </c>
      <c r="AH26" s="383">
        <f t="shared" si="5"/>
        <v>0</v>
      </c>
      <c r="AI26" s="382">
        <f t="shared" si="5"/>
        <v>0</v>
      </c>
      <c r="AJ26" s="383">
        <f t="shared" si="5"/>
        <v>0</v>
      </c>
      <c r="AK26" s="382">
        <f t="shared" si="5"/>
        <v>0</v>
      </c>
      <c r="AL26" s="383">
        <f t="shared" si="5"/>
        <v>0</v>
      </c>
      <c r="AM26" s="382">
        <f t="shared" si="5"/>
        <v>0</v>
      </c>
      <c r="AN26" s="383">
        <f t="shared" si="5"/>
        <v>0</v>
      </c>
      <c r="AO26" s="382">
        <f t="shared" si="5"/>
        <v>0</v>
      </c>
      <c r="AP26" s="383">
        <f t="shared" si="5"/>
        <v>0</v>
      </c>
      <c r="AQ26" s="382">
        <f t="shared" si="5"/>
        <v>0</v>
      </c>
      <c r="AR26" s="383">
        <f t="shared" si="5"/>
        <v>0</v>
      </c>
      <c r="AS26" s="382">
        <f t="shared" si="5"/>
        <v>0</v>
      </c>
      <c r="AT26" s="383">
        <f t="shared" si="5"/>
        <v>0</v>
      </c>
      <c r="AU26" s="382">
        <f t="shared" si="5"/>
        <v>0</v>
      </c>
      <c r="AV26" s="384">
        <f t="shared" si="5"/>
        <v>0</v>
      </c>
      <c r="AW26" s="618" t="str">
        <f>IF((AU41+AV41)=(AX26+AY26),"OK","Controllare totale")</f>
        <v>OK</v>
      </c>
      <c r="AX26" s="623">
        <f>SUM(AX6:AX25)</f>
        <v>0</v>
      </c>
      <c r="AY26" s="624">
        <f>SUM(AY6:AY25)</f>
        <v>0</v>
      </c>
    </row>
    <row r="27" spans="1:52" ht="17.25" customHeight="1" x14ac:dyDescent="0.2">
      <c r="C27" s="18" t="str">
        <f>'t1'!$A$27</f>
        <v>(a) personale a tempo indeterminato al quale viene applicato un contratto di lavoro di tipo privatistico (es.:tipografico,chimico,edile,metalmeccanico,portierato, ecc.)</v>
      </c>
      <c r="S27" s="2"/>
      <c r="T27" s="2"/>
      <c r="AA27" s="18" t="str">
        <f>'t1'!$A$27</f>
        <v>(a) personale a tempo indeterminato al quale viene applicato un contratto di lavoro di tipo privatistico (es.:tipografico,chimico,edile,metalmeccanico,portierato, ecc.)</v>
      </c>
    </row>
    <row r="28" spans="1:52" ht="10.199999999999999" x14ac:dyDescent="0.2">
      <c r="C28" s="18"/>
      <c r="AA28" s="18"/>
    </row>
  </sheetData>
  <sheetProtection algorithmName="SHA-512" hashValue="op1W/BLWlh0ZpJF1/QNEvDyNLlIGlKzjY6exhU7yfz8Dwlhie3hnIXI6GBoHZGMPVeWVcK5/KTny5o7GG3MwNQ==" saltValue="5iyPI6ZszIGL2oLs3/E+RQ==" spinCount="100000" sheet="1" formatColumns="0" selectLockedCells="1"/>
  <mergeCells count="9">
    <mergeCell ref="A1:A2"/>
    <mergeCell ref="G4:H4"/>
    <mergeCell ref="S2:Z2"/>
    <mergeCell ref="AO2:AV2"/>
    <mergeCell ref="C1:W1"/>
    <mergeCell ref="AA1:AS1"/>
    <mergeCell ref="E4:F4"/>
    <mergeCell ref="I4:J4"/>
    <mergeCell ref="M4:N4"/>
  </mergeCells>
  <phoneticPr fontId="30" type="noConversion"/>
  <conditionalFormatting sqref="A6:AV25">
    <cfRule type="expression" dxfId="38" priority="1" stopIfTrue="1">
      <formula>$AZ6&gt;0</formula>
    </cfRule>
  </conditionalFormatting>
  <printOptions horizontalCentered="1" verticalCentered="1"/>
  <pageMargins left="0.19685039370078741" right="0.19685039370078741" top="0.19685039370078741" bottom="0.15748031496062992" header="0.23622047244094491" footer="0.19685039370078741"/>
  <pageSetup paperSize="9" scale="75" orientation="landscape" horizontalDpi="300" verticalDpi="4294967292"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oglio29"/>
  <dimension ref="A1:AY30"/>
  <sheetViews>
    <sheetView showGridLines="0" zoomScaleNormal="100" workbookViewId="0">
      <pane xSplit="2" ySplit="7" topLeftCell="C8" activePane="bottomRight" state="frozen"/>
      <selection activeCell="C4" sqref="C4:C6"/>
      <selection pane="topRight" activeCell="C4" sqref="C4:C6"/>
      <selection pane="bottomLeft" activeCell="C4" sqref="C4:C6"/>
      <selection pane="bottomRight" activeCell="AA8" sqref="AA8"/>
    </sheetView>
  </sheetViews>
  <sheetFormatPr defaultColWidth="10.7109375" defaultRowHeight="10.199999999999999" x14ac:dyDescent="0.2"/>
  <cols>
    <col min="1" max="1" width="38.7109375" style="22" customWidth="1"/>
    <col min="2" max="2" width="8.7109375" style="21" customWidth="1"/>
    <col min="3" max="6" width="11.28515625" style="22" hidden="1" customWidth="1"/>
    <col min="7" max="10" width="10.28515625" style="22" hidden="1" customWidth="1"/>
    <col min="11" max="14" width="10.7109375" style="22" hidden="1" customWidth="1"/>
    <col min="15" max="22" width="9.28515625" style="22" hidden="1" customWidth="1"/>
    <col min="23" max="26" width="10.7109375" style="22" hidden="1" customWidth="1"/>
    <col min="27" max="30" width="11.28515625" style="22" customWidth="1"/>
    <col min="31" max="34" width="10.28515625" style="22" customWidth="1"/>
    <col min="35" max="38" width="10.7109375" style="22"/>
    <col min="39" max="46" width="9.28515625" style="22" customWidth="1"/>
    <col min="47" max="48" width="10.7109375" style="22"/>
    <col min="49" max="49" width="0" style="22" hidden="1" customWidth="1"/>
    <col min="50" max="16384" width="10.7109375" style="22"/>
  </cols>
  <sheetData>
    <row r="1" spans="1:51" s="3" customFormat="1" ht="43.5" customHeight="1" x14ac:dyDescent="0.2">
      <c r="A1" s="1463" t="str">
        <f>'t1'!A1</f>
        <v>ENTI PUBBLICI NON ECONOMICI - anno 2023</v>
      </c>
      <c r="B1" s="1463"/>
      <c r="C1" s="1463"/>
      <c r="D1" s="1463"/>
      <c r="E1" s="1463"/>
      <c r="F1" s="1463"/>
      <c r="G1" s="1463"/>
      <c r="H1" s="1463"/>
      <c r="I1" s="1463"/>
      <c r="J1" s="1463"/>
      <c r="K1" s="1463"/>
      <c r="L1" s="1463"/>
      <c r="M1" s="1463"/>
      <c r="N1" s="1463"/>
      <c r="O1" s="1463"/>
      <c r="P1" s="1463"/>
      <c r="Q1" s="1463"/>
      <c r="R1" s="1463"/>
      <c r="S1" s="1463"/>
      <c r="T1" s="1463"/>
      <c r="U1" s="1463"/>
      <c r="V1" s="1463"/>
      <c r="W1" s="1463"/>
      <c r="X1" s="1463"/>
      <c r="Y1" s="1463"/>
      <c r="Z1" s="1463"/>
      <c r="AA1" s="1463"/>
      <c r="AB1" s="1463"/>
      <c r="AC1" s="1463"/>
      <c r="AD1" s="1463"/>
      <c r="AE1" s="1463"/>
      <c r="AF1" s="1463"/>
      <c r="AG1" s="1463"/>
      <c r="AH1" s="1463"/>
      <c r="AI1" s="1463"/>
      <c r="AJ1" s="1463"/>
      <c r="AK1" s="1463"/>
      <c r="AL1" s="1463"/>
      <c r="AM1" s="1463"/>
      <c r="AN1" s="1463"/>
      <c r="AO1" s="1463"/>
      <c r="AP1" s="1463"/>
      <c r="AQ1" s="1463"/>
      <c r="AR1" s="1463"/>
      <c r="AS1" s="1463"/>
      <c r="AT1" s="1463"/>
      <c r="AU1" s="1463"/>
      <c r="AV1" s="1463"/>
      <c r="AW1" s="22"/>
      <c r="AX1" s="22"/>
      <c r="AY1" s="22"/>
    </row>
    <row r="2" spans="1:51" ht="30" customHeight="1" thickBot="1" x14ac:dyDescent="0.25">
      <c r="A2" s="20"/>
      <c r="G2" s="1499"/>
      <c r="H2" s="1499"/>
      <c r="I2" s="1499"/>
      <c r="J2" s="1499"/>
      <c r="AE2" s="1499"/>
      <c r="AF2" s="1499"/>
      <c r="AG2" s="1499"/>
      <c r="AH2" s="1499"/>
    </row>
    <row r="3" spans="1:51" ht="15.75" customHeight="1" thickBot="1" x14ac:dyDescent="0.25">
      <c r="A3" s="275"/>
      <c r="B3" s="280"/>
      <c r="C3" s="281" t="s">
        <v>237</v>
      </c>
      <c r="D3" s="281"/>
      <c r="E3" s="281"/>
      <c r="F3" s="281"/>
      <c r="G3" s="281"/>
      <c r="H3" s="282"/>
      <c r="I3" s="281"/>
      <c r="J3" s="282"/>
      <c r="K3" s="282"/>
      <c r="L3" s="282"/>
      <c r="M3" s="282"/>
      <c r="N3" s="282"/>
      <c r="O3" s="282"/>
      <c r="P3" s="282"/>
      <c r="Q3" s="282"/>
      <c r="R3" s="282"/>
      <c r="S3" s="282"/>
      <c r="T3" s="282"/>
      <c r="U3" s="282"/>
      <c r="V3" s="282"/>
      <c r="W3" s="282"/>
      <c r="X3" s="282"/>
      <c r="AA3" s="281" t="s">
        <v>237</v>
      </c>
      <c r="AB3" s="281"/>
      <c r="AC3" s="281"/>
      <c r="AD3" s="281"/>
      <c r="AE3" s="281"/>
      <c r="AF3" s="282"/>
      <c r="AG3" s="281"/>
      <c r="AH3" s="282"/>
      <c r="AI3" s="282"/>
      <c r="AJ3" s="282"/>
      <c r="AK3" s="282"/>
      <c r="AL3" s="282"/>
      <c r="AM3" s="282"/>
      <c r="AN3" s="282"/>
      <c r="AO3" s="282"/>
      <c r="AP3" s="282"/>
      <c r="AQ3" s="282"/>
      <c r="AR3" s="282"/>
      <c r="AS3" s="282"/>
      <c r="AT3" s="282"/>
      <c r="AU3" s="282"/>
      <c r="AV3" s="282"/>
    </row>
    <row r="4" spans="1:51" ht="37.5" customHeight="1" thickTop="1" x14ac:dyDescent="0.2">
      <c r="A4" s="23" t="s">
        <v>130</v>
      </c>
      <c r="B4" s="24" t="s">
        <v>57</v>
      </c>
      <c r="C4" s="437" t="s">
        <v>62</v>
      </c>
      <c r="D4" s="438"/>
      <c r="E4" s="1541" t="s">
        <v>351</v>
      </c>
      <c r="F4" s="1542"/>
      <c r="G4" s="1543" t="s">
        <v>374</v>
      </c>
      <c r="H4" s="1524"/>
      <c r="I4" s="1543" t="s">
        <v>350</v>
      </c>
      <c r="J4" s="1524"/>
      <c r="K4" s="1546" t="s">
        <v>349</v>
      </c>
      <c r="L4" s="1524"/>
      <c r="M4" s="1543" t="s">
        <v>348</v>
      </c>
      <c r="N4" s="1524"/>
      <c r="O4" s="1543" t="s">
        <v>324</v>
      </c>
      <c r="P4" s="1524"/>
      <c r="Q4" s="1543" t="s">
        <v>171</v>
      </c>
      <c r="R4" s="1524"/>
      <c r="S4" s="1543" t="s">
        <v>55</v>
      </c>
      <c r="T4" s="1524"/>
      <c r="U4" s="1546" t="s">
        <v>1078</v>
      </c>
      <c r="V4" s="1524"/>
      <c r="W4" s="360" t="s">
        <v>60</v>
      </c>
      <c r="X4" s="359"/>
      <c r="AA4" s="437" t="s">
        <v>62</v>
      </c>
      <c r="AB4" s="438"/>
      <c r="AC4" s="1541" t="s">
        <v>351</v>
      </c>
      <c r="AD4" s="1542"/>
      <c r="AE4" s="1543" t="s">
        <v>374</v>
      </c>
      <c r="AF4" s="1524"/>
      <c r="AG4" s="1543" t="s">
        <v>350</v>
      </c>
      <c r="AH4" s="1524"/>
      <c r="AI4" s="1546" t="s">
        <v>349</v>
      </c>
      <c r="AJ4" s="1524"/>
      <c r="AK4" s="1543" t="s">
        <v>348</v>
      </c>
      <c r="AL4" s="1524"/>
      <c r="AM4" s="1543" t="s">
        <v>324</v>
      </c>
      <c r="AN4" s="1524"/>
      <c r="AO4" s="1543" t="s">
        <v>171</v>
      </c>
      <c r="AP4" s="1524"/>
      <c r="AQ4" s="1543" t="s">
        <v>55</v>
      </c>
      <c r="AR4" s="1524"/>
      <c r="AS4" s="1546" t="s">
        <v>1077</v>
      </c>
      <c r="AT4" s="1524"/>
      <c r="AU4" s="360" t="s">
        <v>60</v>
      </c>
      <c r="AV4" s="359"/>
    </row>
    <row r="5" spans="1:51" ht="10.8" thickBot="1" x14ac:dyDescent="0.25">
      <c r="A5" s="717" t="s">
        <v>609</v>
      </c>
      <c r="B5" s="24"/>
      <c r="C5" s="1539" t="s">
        <v>274</v>
      </c>
      <c r="D5" s="1540"/>
      <c r="E5" s="1539" t="s">
        <v>352</v>
      </c>
      <c r="F5" s="1540"/>
      <c r="G5" s="1539" t="s">
        <v>373</v>
      </c>
      <c r="H5" s="1540"/>
      <c r="I5" s="1539" t="s">
        <v>353</v>
      </c>
      <c r="J5" s="1540"/>
      <c r="K5" s="1539" t="s">
        <v>354</v>
      </c>
      <c r="L5" s="1540"/>
      <c r="M5" s="1544" t="s">
        <v>355</v>
      </c>
      <c r="N5" s="1545"/>
      <c r="O5" s="1544" t="s">
        <v>275</v>
      </c>
      <c r="P5" s="1545"/>
      <c r="Q5" s="1544" t="s">
        <v>276</v>
      </c>
      <c r="R5" s="1545"/>
      <c r="S5" s="1544" t="s">
        <v>298</v>
      </c>
      <c r="T5" s="1545"/>
      <c r="U5" s="1544" t="s">
        <v>1076</v>
      </c>
      <c r="V5" s="1545"/>
      <c r="W5" s="361"/>
      <c r="X5" s="424"/>
      <c r="AA5" s="1539" t="s">
        <v>274</v>
      </c>
      <c r="AB5" s="1540"/>
      <c r="AC5" s="1539" t="s">
        <v>352</v>
      </c>
      <c r="AD5" s="1540"/>
      <c r="AE5" s="1539" t="s">
        <v>373</v>
      </c>
      <c r="AF5" s="1540"/>
      <c r="AG5" s="1539" t="s">
        <v>353</v>
      </c>
      <c r="AH5" s="1540"/>
      <c r="AI5" s="1539" t="s">
        <v>354</v>
      </c>
      <c r="AJ5" s="1540"/>
      <c r="AK5" s="1544" t="s">
        <v>355</v>
      </c>
      <c r="AL5" s="1545"/>
      <c r="AM5" s="1544" t="s">
        <v>275</v>
      </c>
      <c r="AN5" s="1545"/>
      <c r="AO5" s="1544" t="s">
        <v>276</v>
      </c>
      <c r="AP5" s="1545"/>
      <c r="AQ5" s="1544" t="s">
        <v>298</v>
      </c>
      <c r="AR5" s="1545"/>
      <c r="AS5" s="1544" t="s">
        <v>1076</v>
      </c>
      <c r="AT5" s="1545"/>
      <c r="AU5" s="361"/>
      <c r="AV5" s="424"/>
    </row>
    <row r="6" spans="1:51" ht="12" customHeight="1" thickTop="1" x14ac:dyDescent="0.2">
      <c r="A6" s="23"/>
      <c r="B6" s="24"/>
      <c r="C6" s="254" t="s">
        <v>58</v>
      </c>
      <c r="D6" s="362" t="s">
        <v>59</v>
      </c>
      <c r="E6" s="254" t="s">
        <v>58</v>
      </c>
      <c r="F6" s="362" t="s">
        <v>59</v>
      </c>
      <c r="G6" s="254" t="s">
        <v>58</v>
      </c>
      <c r="H6" s="362" t="s">
        <v>59</v>
      </c>
      <c r="I6" s="254" t="s">
        <v>58</v>
      </c>
      <c r="J6" s="362" t="s">
        <v>59</v>
      </c>
      <c r="K6" s="254" t="s">
        <v>58</v>
      </c>
      <c r="L6" s="362" t="s">
        <v>59</v>
      </c>
      <c r="M6" s="254" t="s">
        <v>58</v>
      </c>
      <c r="N6" s="362" t="s">
        <v>59</v>
      </c>
      <c r="O6" s="254" t="s">
        <v>58</v>
      </c>
      <c r="P6" s="530" t="s">
        <v>59</v>
      </c>
      <c r="Q6" s="254" t="s">
        <v>58</v>
      </c>
      <c r="R6" s="530" t="s">
        <v>59</v>
      </c>
      <c r="S6" s="254" t="s">
        <v>58</v>
      </c>
      <c r="T6" s="526" t="s">
        <v>59</v>
      </c>
      <c r="U6" s="254" t="s">
        <v>58</v>
      </c>
      <c r="V6" s="526" t="s">
        <v>59</v>
      </c>
      <c r="W6" s="254" t="s">
        <v>58</v>
      </c>
      <c r="X6" s="362" t="s">
        <v>59</v>
      </c>
      <c r="AA6" s="254" t="s">
        <v>58</v>
      </c>
      <c r="AB6" s="362" t="s">
        <v>59</v>
      </c>
      <c r="AC6" s="254" t="s">
        <v>58</v>
      </c>
      <c r="AD6" s="362" t="s">
        <v>59</v>
      </c>
      <c r="AE6" s="254" t="s">
        <v>58</v>
      </c>
      <c r="AF6" s="362" t="s">
        <v>59</v>
      </c>
      <c r="AG6" s="254" t="s">
        <v>58</v>
      </c>
      <c r="AH6" s="362" t="s">
        <v>59</v>
      </c>
      <c r="AI6" s="254" t="s">
        <v>58</v>
      </c>
      <c r="AJ6" s="362" t="s">
        <v>59</v>
      </c>
      <c r="AK6" s="254" t="s">
        <v>58</v>
      </c>
      <c r="AL6" s="362" t="s">
        <v>59</v>
      </c>
      <c r="AM6" s="254" t="s">
        <v>58</v>
      </c>
      <c r="AN6" s="530" t="s">
        <v>59</v>
      </c>
      <c r="AO6" s="254" t="s">
        <v>58</v>
      </c>
      <c r="AP6" s="530" t="s">
        <v>59</v>
      </c>
      <c r="AQ6" s="254" t="s">
        <v>58</v>
      </c>
      <c r="AR6" s="526" t="s">
        <v>59</v>
      </c>
      <c r="AS6" s="254" t="s">
        <v>58</v>
      </c>
      <c r="AT6" s="526" t="s">
        <v>59</v>
      </c>
      <c r="AU6" s="254" t="s">
        <v>58</v>
      </c>
      <c r="AV6" s="362" t="s">
        <v>59</v>
      </c>
    </row>
    <row r="7" spans="1:51" s="267" customFormat="1" ht="8.4" thickBot="1" x14ac:dyDescent="0.2">
      <c r="A7" s="264"/>
      <c r="B7" s="266"/>
      <c r="C7" s="265" t="s">
        <v>63</v>
      </c>
      <c r="D7" s="266" t="s">
        <v>63</v>
      </c>
      <c r="E7" s="265" t="s">
        <v>63</v>
      </c>
      <c r="F7" s="266" t="s">
        <v>63</v>
      </c>
      <c r="G7" s="265" t="s">
        <v>63</v>
      </c>
      <c r="H7" s="266" t="s">
        <v>63</v>
      </c>
      <c r="I7" s="265" t="s">
        <v>63</v>
      </c>
      <c r="J7" s="266" t="s">
        <v>63</v>
      </c>
      <c r="K7" s="265" t="s">
        <v>63</v>
      </c>
      <c r="L7" s="266" t="s">
        <v>63</v>
      </c>
      <c r="M7" s="265" t="s">
        <v>63</v>
      </c>
      <c r="N7" s="266" t="s">
        <v>63</v>
      </c>
      <c r="O7" s="265" t="s">
        <v>63</v>
      </c>
      <c r="P7" s="531" t="s">
        <v>63</v>
      </c>
      <c r="Q7" s="265" t="s">
        <v>63</v>
      </c>
      <c r="R7" s="531" t="s">
        <v>63</v>
      </c>
      <c r="S7" s="265" t="s">
        <v>63</v>
      </c>
      <c r="T7" s="531" t="s">
        <v>63</v>
      </c>
      <c r="U7" s="265" t="s">
        <v>63</v>
      </c>
      <c r="V7" s="531" t="s">
        <v>63</v>
      </c>
      <c r="W7" s="536" t="s">
        <v>63</v>
      </c>
      <c r="X7" s="473" t="s">
        <v>63</v>
      </c>
      <c r="AA7" s="265" t="s">
        <v>63</v>
      </c>
      <c r="AB7" s="266" t="s">
        <v>63</v>
      </c>
      <c r="AC7" s="265" t="s">
        <v>63</v>
      </c>
      <c r="AD7" s="266" t="s">
        <v>63</v>
      </c>
      <c r="AE7" s="265" t="s">
        <v>63</v>
      </c>
      <c r="AF7" s="266" t="s">
        <v>63</v>
      </c>
      <c r="AG7" s="265" t="s">
        <v>63</v>
      </c>
      <c r="AH7" s="266" t="s">
        <v>63</v>
      </c>
      <c r="AI7" s="265" t="s">
        <v>63</v>
      </c>
      <c r="AJ7" s="266" t="s">
        <v>63</v>
      </c>
      <c r="AK7" s="265" t="s">
        <v>63</v>
      </c>
      <c r="AL7" s="266" t="s">
        <v>63</v>
      </c>
      <c r="AM7" s="265" t="s">
        <v>63</v>
      </c>
      <c r="AN7" s="531" t="s">
        <v>63</v>
      </c>
      <c r="AO7" s="265" t="s">
        <v>63</v>
      </c>
      <c r="AP7" s="531" t="s">
        <v>63</v>
      </c>
      <c r="AQ7" s="265" t="s">
        <v>63</v>
      </c>
      <c r="AR7" s="531" t="s">
        <v>63</v>
      </c>
      <c r="AS7" s="265" t="s">
        <v>63</v>
      </c>
      <c r="AT7" s="531" t="s">
        <v>63</v>
      </c>
      <c r="AU7" s="536" t="s">
        <v>63</v>
      </c>
      <c r="AV7" s="473" t="s">
        <v>63</v>
      </c>
    </row>
    <row r="8" spans="1:51" ht="13.2" customHeight="1" thickTop="1" x14ac:dyDescent="0.2">
      <c r="A8" s="17" t="str">
        <f>'t1'!A6</f>
        <v>DIRETTORE GENERALE</v>
      </c>
      <c r="B8" s="208" t="str">
        <f>'t1'!B6</f>
        <v>0D0097</v>
      </c>
      <c r="C8" s="729">
        <f t="shared" ref="C8:C22" si="0">ROUND(AA8,0)</f>
        <v>0</v>
      </c>
      <c r="D8" s="730">
        <f t="shared" ref="D8:D22" si="1">ROUND(AB8,0)</f>
        <v>0</v>
      </c>
      <c r="E8" s="729">
        <f t="shared" ref="E8:E22" si="2">ROUND(AC8,0)</f>
        <v>0</v>
      </c>
      <c r="F8" s="730">
        <f t="shared" ref="F8:F22" si="3">ROUND(AD8,0)</f>
        <v>0</v>
      </c>
      <c r="G8" s="729">
        <f t="shared" ref="G8:G22" si="4">ROUND(AE8,0)</f>
        <v>0</v>
      </c>
      <c r="H8" s="730">
        <f t="shared" ref="H8:H22" si="5">ROUND(AF8,0)</f>
        <v>0</v>
      </c>
      <c r="I8" s="729">
        <f t="shared" ref="I8:I22" si="6">ROUND(AG8,0)</f>
        <v>0</v>
      </c>
      <c r="J8" s="730">
        <f t="shared" ref="J8:J22" si="7">ROUND(AH8,0)</f>
        <v>0</v>
      </c>
      <c r="K8" s="729">
        <f t="shared" ref="K8:K22" si="8">ROUND(AI8,0)</f>
        <v>0</v>
      </c>
      <c r="L8" s="730">
        <f t="shared" ref="L8:L22" si="9">ROUND(AJ8,0)</f>
        <v>0</v>
      </c>
      <c r="M8" s="729">
        <f t="shared" ref="M8:M22" si="10">ROUND(AK8,0)</f>
        <v>0</v>
      </c>
      <c r="N8" s="730">
        <f t="shared" ref="N8:N22" si="11">ROUND(AL8,0)</f>
        <v>0</v>
      </c>
      <c r="O8" s="731">
        <f t="shared" ref="O8:O22" si="12">ROUND(AM8,0)</f>
        <v>0</v>
      </c>
      <c r="P8" s="732">
        <f t="shared" ref="P8:P22" si="13">ROUND(AN8,0)</f>
        <v>0</v>
      </c>
      <c r="Q8" s="731">
        <f t="shared" ref="Q8:Q22" si="14">ROUND(AO8,0)</f>
        <v>0</v>
      </c>
      <c r="R8" s="732">
        <f t="shared" ref="R8:R22" si="15">ROUND(AP8,0)</f>
        <v>0</v>
      </c>
      <c r="S8" s="731">
        <f t="shared" ref="S8:S22" si="16">ROUND(AQ8,0)</f>
        <v>0</v>
      </c>
      <c r="T8" s="732">
        <f t="shared" ref="T8:T22" si="17">ROUND(AR8,0)</f>
        <v>0</v>
      </c>
      <c r="U8" s="731">
        <f t="shared" ref="U8:U22" si="18">ROUND(AS8,0)</f>
        <v>0</v>
      </c>
      <c r="V8" s="733">
        <f t="shared" ref="V8:X22" si="19">ROUND(AT8,0)</f>
        <v>0</v>
      </c>
      <c r="W8" s="537">
        <f t="shared" si="19"/>
        <v>0</v>
      </c>
      <c r="X8" s="538">
        <f t="shared" si="19"/>
        <v>0</v>
      </c>
      <c r="Y8" s="715">
        <f>'t1'!M6</f>
        <v>0</v>
      </c>
      <c r="AA8" s="250"/>
      <c r="AB8" s="251"/>
      <c r="AC8" s="250"/>
      <c r="AD8" s="251"/>
      <c r="AE8" s="250"/>
      <c r="AF8" s="251"/>
      <c r="AG8" s="250"/>
      <c r="AH8" s="251"/>
      <c r="AI8" s="250"/>
      <c r="AJ8" s="251"/>
      <c r="AK8" s="250"/>
      <c r="AL8" s="251"/>
      <c r="AM8" s="535"/>
      <c r="AN8" s="532"/>
      <c r="AO8" s="535"/>
      <c r="AP8" s="532"/>
      <c r="AQ8" s="535"/>
      <c r="AR8" s="532"/>
      <c r="AS8" s="535"/>
      <c r="AT8" s="527"/>
      <c r="AU8" s="537">
        <f>SUM(AA8,AC8,AE8,AG8,AI8,AK8,AM8,AO8,AQ8,AS8)</f>
        <v>0</v>
      </c>
      <c r="AV8" s="538">
        <f>SUM(AB8,AD8,AF8,AH8,AJ8,AL8,AN8,AP8,AR8,AT8)</f>
        <v>0</v>
      </c>
      <c r="AW8" s="715">
        <f>'t1'!AQ6</f>
        <v>0</v>
      </c>
    </row>
    <row r="9" spans="1:51" ht="13.2" customHeight="1" x14ac:dyDescent="0.2">
      <c r="A9" s="135" t="str">
        <f>'t1'!A7</f>
        <v>DIRIGENTE I FASCIA</v>
      </c>
      <c r="B9" s="201" t="str">
        <f>'t1'!B7</f>
        <v>0D0077</v>
      </c>
      <c r="C9" s="734">
        <f t="shared" si="0"/>
        <v>0</v>
      </c>
      <c r="D9" s="735">
        <f t="shared" si="1"/>
        <v>0</v>
      </c>
      <c r="E9" s="734">
        <f t="shared" si="2"/>
        <v>0</v>
      </c>
      <c r="F9" s="735">
        <f t="shared" si="3"/>
        <v>0</v>
      </c>
      <c r="G9" s="734">
        <f t="shared" si="4"/>
        <v>0</v>
      </c>
      <c r="H9" s="735">
        <f t="shared" si="5"/>
        <v>0</v>
      </c>
      <c r="I9" s="734">
        <f t="shared" si="6"/>
        <v>0</v>
      </c>
      <c r="J9" s="735">
        <f t="shared" si="7"/>
        <v>0</v>
      </c>
      <c r="K9" s="734">
        <f t="shared" si="8"/>
        <v>0</v>
      </c>
      <c r="L9" s="735">
        <f t="shared" si="9"/>
        <v>0</v>
      </c>
      <c r="M9" s="734">
        <f t="shared" si="10"/>
        <v>0</v>
      </c>
      <c r="N9" s="735">
        <f t="shared" si="11"/>
        <v>0</v>
      </c>
      <c r="O9" s="734">
        <f t="shared" si="12"/>
        <v>0</v>
      </c>
      <c r="P9" s="736">
        <f t="shared" si="13"/>
        <v>0</v>
      </c>
      <c r="Q9" s="734">
        <f t="shared" si="14"/>
        <v>0</v>
      </c>
      <c r="R9" s="736">
        <f t="shared" si="15"/>
        <v>0</v>
      </c>
      <c r="S9" s="734">
        <f t="shared" si="16"/>
        <v>0</v>
      </c>
      <c r="T9" s="736">
        <f t="shared" si="17"/>
        <v>0</v>
      </c>
      <c r="U9" s="734">
        <f t="shared" si="18"/>
        <v>0</v>
      </c>
      <c r="V9" s="737">
        <f t="shared" si="19"/>
        <v>0</v>
      </c>
      <c r="W9" s="472">
        <f t="shared" si="19"/>
        <v>0</v>
      </c>
      <c r="X9" s="474">
        <f t="shared" si="19"/>
        <v>0</v>
      </c>
      <c r="Y9" s="715">
        <f>'t1'!M7</f>
        <v>0</v>
      </c>
      <c r="AA9" s="252"/>
      <c r="AB9" s="253"/>
      <c r="AC9" s="252"/>
      <c r="AD9" s="253"/>
      <c r="AE9" s="252"/>
      <c r="AF9" s="253"/>
      <c r="AG9" s="252"/>
      <c r="AH9" s="253"/>
      <c r="AI9" s="252"/>
      <c r="AJ9" s="253"/>
      <c r="AK9" s="252"/>
      <c r="AL9" s="253"/>
      <c r="AM9" s="252"/>
      <c r="AN9" s="533"/>
      <c r="AO9" s="252"/>
      <c r="AP9" s="533"/>
      <c r="AQ9" s="252"/>
      <c r="AR9" s="533"/>
      <c r="AS9" s="252"/>
      <c r="AT9" s="528"/>
      <c r="AU9" s="472">
        <f t="shared" ref="AU9:AU27" si="20">SUM(AA9,AC9,AE9,AG9,AI9,AK9,AM9,AO9,AQ9,AS9)</f>
        <v>0</v>
      </c>
      <c r="AV9" s="474">
        <f t="shared" ref="AV9:AV27" si="21">SUM(AB9,AD9,AF9,AH9,AJ9,AL9,AN9,AP9,AR9,AT9)</f>
        <v>0</v>
      </c>
      <c r="AW9" s="715">
        <f>'t1'!AQ7</f>
        <v>0</v>
      </c>
    </row>
    <row r="10" spans="1:51" ht="13.2" customHeight="1" x14ac:dyDescent="0.2">
      <c r="A10" s="135" t="str">
        <f>'t1'!A8</f>
        <v>DIRIGENTE I FASCIA A TEMPO DETERM.</v>
      </c>
      <c r="B10" s="201" t="str">
        <f>'t1'!B8</f>
        <v>0D0078</v>
      </c>
      <c r="C10" s="734">
        <f t="shared" si="0"/>
        <v>0</v>
      </c>
      <c r="D10" s="735">
        <f t="shared" si="1"/>
        <v>0</v>
      </c>
      <c r="E10" s="734">
        <f t="shared" si="2"/>
        <v>0</v>
      </c>
      <c r="F10" s="735">
        <f t="shared" si="3"/>
        <v>0</v>
      </c>
      <c r="G10" s="734">
        <f t="shared" si="4"/>
        <v>0</v>
      </c>
      <c r="H10" s="735">
        <f t="shared" si="5"/>
        <v>0</v>
      </c>
      <c r="I10" s="734">
        <f t="shared" si="6"/>
        <v>0</v>
      </c>
      <c r="J10" s="735">
        <f t="shared" si="7"/>
        <v>0</v>
      </c>
      <c r="K10" s="734">
        <f t="shared" si="8"/>
        <v>0</v>
      </c>
      <c r="L10" s="735">
        <f t="shared" si="9"/>
        <v>0</v>
      </c>
      <c r="M10" s="734">
        <f t="shared" si="10"/>
        <v>0</v>
      </c>
      <c r="N10" s="735">
        <f t="shared" si="11"/>
        <v>0</v>
      </c>
      <c r="O10" s="734">
        <f t="shared" si="12"/>
        <v>0</v>
      </c>
      <c r="P10" s="736">
        <f t="shared" si="13"/>
        <v>0</v>
      </c>
      <c r="Q10" s="734">
        <f t="shared" si="14"/>
        <v>0</v>
      </c>
      <c r="R10" s="736">
        <f t="shared" si="15"/>
        <v>0</v>
      </c>
      <c r="S10" s="734">
        <f t="shared" si="16"/>
        <v>0</v>
      </c>
      <c r="T10" s="736">
        <f t="shared" si="17"/>
        <v>0</v>
      </c>
      <c r="U10" s="734">
        <f t="shared" si="18"/>
        <v>0</v>
      </c>
      <c r="V10" s="737">
        <f t="shared" si="19"/>
        <v>0</v>
      </c>
      <c r="W10" s="472">
        <f t="shared" si="19"/>
        <v>0</v>
      </c>
      <c r="X10" s="474">
        <f t="shared" si="19"/>
        <v>0</v>
      </c>
      <c r="Y10" s="715">
        <f>'t1'!M8</f>
        <v>0</v>
      </c>
      <c r="AA10" s="252"/>
      <c r="AB10" s="253"/>
      <c r="AC10" s="252"/>
      <c r="AD10" s="253"/>
      <c r="AE10" s="252"/>
      <c r="AF10" s="253"/>
      <c r="AG10" s="252"/>
      <c r="AH10" s="253"/>
      <c r="AI10" s="252"/>
      <c r="AJ10" s="253"/>
      <c r="AK10" s="252"/>
      <c r="AL10" s="253"/>
      <c r="AM10" s="252"/>
      <c r="AN10" s="533"/>
      <c r="AO10" s="252"/>
      <c r="AP10" s="533"/>
      <c r="AQ10" s="252"/>
      <c r="AR10" s="533"/>
      <c r="AS10" s="252"/>
      <c r="AT10" s="528"/>
      <c r="AU10" s="472">
        <f t="shared" si="20"/>
        <v>0</v>
      </c>
      <c r="AV10" s="474">
        <f t="shared" si="21"/>
        <v>0</v>
      </c>
      <c r="AW10" s="715">
        <f>'t1'!AQ8</f>
        <v>0</v>
      </c>
    </row>
    <row r="11" spans="1:51" ht="13.2" customHeight="1" x14ac:dyDescent="0.2">
      <c r="A11" s="135" t="str">
        <f>'t1'!A9</f>
        <v>DIRIGENTE II FASCIA</v>
      </c>
      <c r="B11" s="201" t="str">
        <f>'t1'!B9</f>
        <v>0D0079</v>
      </c>
      <c r="C11" s="734">
        <f t="shared" si="0"/>
        <v>0</v>
      </c>
      <c r="D11" s="735">
        <f t="shared" si="1"/>
        <v>0</v>
      </c>
      <c r="E11" s="734">
        <f t="shared" si="2"/>
        <v>0</v>
      </c>
      <c r="F11" s="735">
        <f t="shared" si="3"/>
        <v>0</v>
      </c>
      <c r="G11" s="734">
        <f t="shared" si="4"/>
        <v>0</v>
      </c>
      <c r="H11" s="735">
        <f t="shared" si="5"/>
        <v>0</v>
      </c>
      <c r="I11" s="734">
        <f t="shared" si="6"/>
        <v>0</v>
      </c>
      <c r="J11" s="735">
        <f t="shared" si="7"/>
        <v>0</v>
      </c>
      <c r="K11" s="734">
        <f t="shared" si="8"/>
        <v>0</v>
      </c>
      <c r="L11" s="735">
        <f t="shared" si="9"/>
        <v>0</v>
      </c>
      <c r="M11" s="734">
        <f t="shared" si="10"/>
        <v>0</v>
      </c>
      <c r="N11" s="735">
        <f t="shared" si="11"/>
        <v>0</v>
      </c>
      <c r="O11" s="734">
        <f t="shared" si="12"/>
        <v>0</v>
      </c>
      <c r="P11" s="736">
        <f t="shared" si="13"/>
        <v>0</v>
      </c>
      <c r="Q11" s="734">
        <f t="shared" si="14"/>
        <v>0</v>
      </c>
      <c r="R11" s="736">
        <f t="shared" si="15"/>
        <v>0</v>
      </c>
      <c r="S11" s="734">
        <f t="shared" si="16"/>
        <v>0</v>
      </c>
      <c r="T11" s="736">
        <f t="shared" si="17"/>
        <v>0</v>
      </c>
      <c r="U11" s="734">
        <f t="shared" si="18"/>
        <v>0</v>
      </c>
      <c r="V11" s="737">
        <f t="shared" si="19"/>
        <v>0</v>
      </c>
      <c r="W11" s="472">
        <f t="shared" si="19"/>
        <v>0</v>
      </c>
      <c r="X11" s="474">
        <f t="shared" si="19"/>
        <v>0</v>
      </c>
      <c r="Y11" s="715">
        <f>'t1'!M9</f>
        <v>0</v>
      </c>
      <c r="AA11" s="252"/>
      <c r="AB11" s="253"/>
      <c r="AC11" s="252"/>
      <c r="AD11" s="253"/>
      <c r="AE11" s="252"/>
      <c r="AF11" s="253"/>
      <c r="AG11" s="252"/>
      <c r="AH11" s="253"/>
      <c r="AI11" s="252"/>
      <c r="AJ11" s="253"/>
      <c r="AK11" s="252"/>
      <c r="AL11" s="253"/>
      <c r="AM11" s="252"/>
      <c r="AN11" s="533"/>
      <c r="AO11" s="252"/>
      <c r="AP11" s="533"/>
      <c r="AQ11" s="252"/>
      <c r="AR11" s="533"/>
      <c r="AS11" s="252"/>
      <c r="AT11" s="528"/>
      <c r="AU11" s="472">
        <f t="shared" si="20"/>
        <v>0</v>
      </c>
      <c r="AV11" s="474">
        <f t="shared" si="21"/>
        <v>0</v>
      </c>
      <c r="AW11" s="715">
        <f>'t1'!AQ9</f>
        <v>0</v>
      </c>
    </row>
    <row r="12" spans="1:51" ht="13.2" customHeight="1" x14ac:dyDescent="0.2">
      <c r="A12" s="135" t="str">
        <f>'t1'!A10</f>
        <v>DIRIGENTE II FASCIA A TEMPO DETERM.</v>
      </c>
      <c r="B12" s="201" t="str">
        <f>'t1'!B10</f>
        <v>0D0080</v>
      </c>
      <c r="C12" s="734">
        <f t="shared" si="0"/>
        <v>0</v>
      </c>
      <c r="D12" s="735">
        <f t="shared" si="1"/>
        <v>0</v>
      </c>
      <c r="E12" s="734">
        <f t="shared" si="2"/>
        <v>0</v>
      </c>
      <c r="F12" s="735">
        <f t="shared" si="3"/>
        <v>0</v>
      </c>
      <c r="G12" s="734">
        <f t="shared" si="4"/>
        <v>0</v>
      </c>
      <c r="H12" s="735">
        <f t="shared" si="5"/>
        <v>0</v>
      </c>
      <c r="I12" s="734">
        <f t="shared" si="6"/>
        <v>0</v>
      </c>
      <c r="J12" s="735">
        <f t="shared" si="7"/>
        <v>0</v>
      </c>
      <c r="K12" s="734">
        <f t="shared" si="8"/>
        <v>0</v>
      </c>
      <c r="L12" s="735">
        <f t="shared" si="9"/>
        <v>0</v>
      </c>
      <c r="M12" s="734">
        <f t="shared" si="10"/>
        <v>0</v>
      </c>
      <c r="N12" s="735">
        <f t="shared" si="11"/>
        <v>0</v>
      </c>
      <c r="O12" s="734">
        <f t="shared" si="12"/>
        <v>0</v>
      </c>
      <c r="P12" s="736">
        <f t="shared" si="13"/>
        <v>0</v>
      </c>
      <c r="Q12" s="734">
        <f t="shared" si="14"/>
        <v>0</v>
      </c>
      <c r="R12" s="736">
        <f t="shared" si="15"/>
        <v>0</v>
      </c>
      <c r="S12" s="734">
        <f t="shared" si="16"/>
        <v>0</v>
      </c>
      <c r="T12" s="736">
        <f t="shared" si="17"/>
        <v>0</v>
      </c>
      <c r="U12" s="734">
        <f t="shared" si="18"/>
        <v>0</v>
      </c>
      <c r="V12" s="737">
        <f t="shared" si="19"/>
        <v>0</v>
      </c>
      <c r="W12" s="472">
        <f t="shared" si="19"/>
        <v>0</v>
      </c>
      <c r="X12" s="474">
        <f t="shared" si="19"/>
        <v>0</v>
      </c>
      <c r="Y12" s="715">
        <f>'t1'!M10</f>
        <v>0</v>
      </c>
      <c r="AA12" s="252"/>
      <c r="AB12" s="253"/>
      <c r="AC12" s="252"/>
      <c r="AD12" s="253"/>
      <c r="AE12" s="252"/>
      <c r="AF12" s="253"/>
      <c r="AG12" s="252"/>
      <c r="AH12" s="253"/>
      <c r="AI12" s="252"/>
      <c r="AJ12" s="253"/>
      <c r="AK12" s="252"/>
      <c r="AL12" s="253"/>
      <c r="AM12" s="252"/>
      <c r="AN12" s="533"/>
      <c r="AO12" s="252"/>
      <c r="AP12" s="533"/>
      <c r="AQ12" s="252"/>
      <c r="AR12" s="533"/>
      <c r="AS12" s="252"/>
      <c r="AT12" s="528"/>
      <c r="AU12" s="472">
        <f t="shared" si="20"/>
        <v>0</v>
      </c>
      <c r="AV12" s="474">
        <f t="shared" si="21"/>
        <v>0</v>
      </c>
      <c r="AW12" s="715">
        <f>'t1'!AQ10</f>
        <v>0</v>
      </c>
    </row>
    <row r="13" spans="1:51" ht="13.2" customHeight="1" x14ac:dyDescent="0.2">
      <c r="A13" s="135" t="str">
        <f>'t1'!A11</f>
        <v>MEDICO II FASCIA T.P.</v>
      </c>
      <c r="B13" s="201" t="str">
        <f>'t1'!B11</f>
        <v>0D0584</v>
      </c>
      <c r="C13" s="734">
        <f t="shared" si="0"/>
        <v>0</v>
      </c>
      <c r="D13" s="735">
        <f t="shared" si="1"/>
        <v>0</v>
      </c>
      <c r="E13" s="734">
        <f t="shared" si="2"/>
        <v>0</v>
      </c>
      <c r="F13" s="735">
        <f t="shared" si="3"/>
        <v>0</v>
      </c>
      <c r="G13" s="734">
        <f t="shared" si="4"/>
        <v>0</v>
      </c>
      <c r="H13" s="735">
        <f t="shared" si="5"/>
        <v>0</v>
      </c>
      <c r="I13" s="734">
        <f t="shared" si="6"/>
        <v>0</v>
      </c>
      <c r="J13" s="735">
        <f t="shared" si="7"/>
        <v>0</v>
      </c>
      <c r="K13" s="734">
        <f t="shared" si="8"/>
        <v>0</v>
      </c>
      <c r="L13" s="735">
        <f t="shared" si="9"/>
        <v>0</v>
      </c>
      <c r="M13" s="734">
        <f t="shared" si="10"/>
        <v>0</v>
      </c>
      <c r="N13" s="735">
        <f t="shared" si="11"/>
        <v>0</v>
      </c>
      <c r="O13" s="734">
        <f t="shared" si="12"/>
        <v>0</v>
      </c>
      <c r="P13" s="736">
        <f t="shared" si="13"/>
        <v>0</v>
      </c>
      <c r="Q13" s="734">
        <f t="shared" si="14"/>
        <v>0</v>
      </c>
      <c r="R13" s="736">
        <f t="shared" si="15"/>
        <v>0</v>
      </c>
      <c r="S13" s="734">
        <f t="shared" si="16"/>
        <v>0</v>
      </c>
      <c r="T13" s="736">
        <f t="shared" si="17"/>
        <v>0</v>
      </c>
      <c r="U13" s="734">
        <f t="shared" si="18"/>
        <v>0</v>
      </c>
      <c r="V13" s="737">
        <f t="shared" si="19"/>
        <v>0</v>
      </c>
      <c r="W13" s="472">
        <f t="shared" si="19"/>
        <v>0</v>
      </c>
      <c r="X13" s="474">
        <f t="shared" si="19"/>
        <v>0</v>
      </c>
      <c r="Y13" s="715">
        <f>'t1'!M11</f>
        <v>0</v>
      </c>
      <c r="AA13" s="252"/>
      <c r="AB13" s="253"/>
      <c r="AC13" s="252"/>
      <c r="AD13" s="253"/>
      <c r="AE13" s="252"/>
      <c r="AF13" s="253"/>
      <c r="AG13" s="252"/>
      <c r="AH13" s="253"/>
      <c r="AI13" s="252"/>
      <c r="AJ13" s="253"/>
      <c r="AK13" s="252"/>
      <c r="AL13" s="253"/>
      <c r="AM13" s="252"/>
      <c r="AN13" s="533"/>
      <c r="AO13" s="252"/>
      <c r="AP13" s="533"/>
      <c r="AQ13" s="252"/>
      <c r="AR13" s="533"/>
      <c r="AS13" s="252"/>
      <c r="AT13" s="528"/>
      <c r="AU13" s="472">
        <f t="shared" si="20"/>
        <v>0</v>
      </c>
      <c r="AV13" s="474">
        <f t="shared" si="21"/>
        <v>0</v>
      </c>
      <c r="AW13" s="715">
        <f>'t1'!AQ11</f>
        <v>0</v>
      </c>
    </row>
    <row r="14" spans="1:51" ht="13.2" customHeight="1" x14ac:dyDescent="0.2">
      <c r="A14" s="135" t="str">
        <f>'t1'!A12</f>
        <v>MEDICO I FASCIA T.P.</v>
      </c>
      <c r="B14" s="201" t="str">
        <f>'t1'!B12</f>
        <v>0D0585</v>
      </c>
      <c r="C14" s="734">
        <f t="shared" si="0"/>
        <v>0</v>
      </c>
      <c r="D14" s="735">
        <f t="shared" si="1"/>
        <v>0</v>
      </c>
      <c r="E14" s="734">
        <f t="shared" si="2"/>
        <v>0</v>
      </c>
      <c r="F14" s="735">
        <f t="shared" si="3"/>
        <v>0</v>
      </c>
      <c r="G14" s="734">
        <f t="shared" si="4"/>
        <v>0</v>
      </c>
      <c r="H14" s="735">
        <f t="shared" si="5"/>
        <v>0</v>
      </c>
      <c r="I14" s="734">
        <f t="shared" si="6"/>
        <v>0</v>
      </c>
      <c r="J14" s="735">
        <f t="shared" si="7"/>
        <v>0</v>
      </c>
      <c r="K14" s="734">
        <f t="shared" si="8"/>
        <v>0</v>
      </c>
      <c r="L14" s="735">
        <f t="shared" si="9"/>
        <v>0</v>
      </c>
      <c r="M14" s="734">
        <f t="shared" si="10"/>
        <v>0</v>
      </c>
      <c r="N14" s="735">
        <f t="shared" si="11"/>
        <v>0</v>
      </c>
      <c r="O14" s="734">
        <f t="shared" si="12"/>
        <v>0</v>
      </c>
      <c r="P14" s="736">
        <f t="shared" si="13"/>
        <v>0</v>
      </c>
      <c r="Q14" s="734">
        <f t="shared" si="14"/>
        <v>0</v>
      </c>
      <c r="R14" s="736">
        <f t="shared" si="15"/>
        <v>0</v>
      </c>
      <c r="S14" s="734">
        <f t="shared" si="16"/>
        <v>0</v>
      </c>
      <c r="T14" s="736">
        <f t="shared" si="17"/>
        <v>0</v>
      </c>
      <c r="U14" s="734">
        <f t="shared" si="18"/>
        <v>0</v>
      </c>
      <c r="V14" s="737">
        <f t="shared" si="19"/>
        <v>0</v>
      </c>
      <c r="W14" s="472">
        <f t="shared" si="19"/>
        <v>0</v>
      </c>
      <c r="X14" s="474">
        <f t="shared" si="19"/>
        <v>0</v>
      </c>
      <c r="Y14" s="715">
        <f>'t1'!M12</f>
        <v>0</v>
      </c>
      <c r="AA14" s="252"/>
      <c r="AB14" s="253"/>
      <c r="AC14" s="252"/>
      <c r="AD14" s="253"/>
      <c r="AE14" s="252"/>
      <c r="AF14" s="253"/>
      <c r="AG14" s="252"/>
      <c r="AH14" s="253"/>
      <c r="AI14" s="252"/>
      <c r="AJ14" s="253"/>
      <c r="AK14" s="252"/>
      <c r="AL14" s="253"/>
      <c r="AM14" s="252"/>
      <c r="AN14" s="533"/>
      <c r="AO14" s="252"/>
      <c r="AP14" s="533"/>
      <c r="AQ14" s="252"/>
      <c r="AR14" s="533"/>
      <c r="AS14" s="252"/>
      <c r="AT14" s="528"/>
      <c r="AU14" s="472">
        <f t="shared" si="20"/>
        <v>0</v>
      </c>
      <c r="AV14" s="474">
        <f t="shared" si="21"/>
        <v>0</v>
      </c>
      <c r="AW14" s="715">
        <f>'t1'!AQ12</f>
        <v>0</v>
      </c>
    </row>
    <row r="15" spans="1:51" ht="13.2" customHeight="1" x14ac:dyDescent="0.2">
      <c r="A15" s="135" t="str">
        <f>'t1'!A13</f>
        <v>MEDICO II FASCIA T.D.</v>
      </c>
      <c r="B15" s="201" t="str">
        <f>'t1'!B13</f>
        <v>0D0586</v>
      </c>
      <c r="C15" s="734">
        <f t="shared" si="0"/>
        <v>0</v>
      </c>
      <c r="D15" s="735">
        <f t="shared" si="1"/>
        <v>0</v>
      </c>
      <c r="E15" s="734">
        <f t="shared" si="2"/>
        <v>0</v>
      </c>
      <c r="F15" s="735">
        <f t="shared" si="3"/>
        <v>0</v>
      </c>
      <c r="G15" s="734">
        <f t="shared" si="4"/>
        <v>0</v>
      </c>
      <c r="H15" s="735">
        <f t="shared" si="5"/>
        <v>0</v>
      </c>
      <c r="I15" s="734">
        <f t="shared" si="6"/>
        <v>0</v>
      </c>
      <c r="J15" s="735">
        <f t="shared" si="7"/>
        <v>0</v>
      </c>
      <c r="K15" s="734">
        <f t="shared" si="8"/>
        <v>0</v>
      </c>
      <c r="L15" s="735">
        <f t="shared" si="9"/>
        <v>0</v>
      </c>
      <c r="M15" s="734">
        <f t="shared" si="10"/>
        <v>0</v>
      </c>
      <c r="N15" s="735">
        <f t="shared" si="11"/>
        <v>0</v>
      </c>
      <c r="O15" s="734">
        <f t="shared" si="12"/>
        <v>0</v>
      </c>
      <c r="P15" s="736">
        <f t="shared" si="13"/>
        <v>0</v>
      </c>
      <c r="Q15" s="734">
        <f t="shared" si="14"/>
        <v>0</v>
      </c>
      <c r="R15" s="736">
        <f t="shared" si="15"/>
        <v>0</v>
      </c>
      <c r="S15" s="734">
        <f t="shared" si="16"/>
        <v>0</v>
      </c>
      <c r="T15" s="736">
        <f t="shared" si="17"/>
        <v>0</v>
      </c>
      <c r="U15" s="734">
        <f t="shared" si="18"/>
        <v>0</v>
      </c>
      <c r="V15" s="737">
        <f t="shared" si="19"/>
        <v>0</v>
      </c>
      <c r="W15" s="472">
        <f t="shared" si="19"/>
        <v>0</v>
      </c>
      <c r="X15" s="474">
        <f t="shared" si="19"/>
        <v>0</v>
      </c>
      <c r="Y15" s="715">
        <f>'t1'!M13</f>
        <v>0</v>
      </c>
      <c r="AA15" s="252"/>
      <c r="AB15" s="253"/>
      <c r="AC15" s="252"/>
      <c r="AD15" s="253"/>
      <c r="AE15" s="252"/>
      <c r="AF15" s="253"/>
      <c r="AG15" s="252"/>
      <c r="AH15" s="253"/>
      <c r="AI15" s="252"/>
      <c r="AJ15" s="253"/>
      <c r="AK15" s="252"/>
      <c r="AL15" s="253"/>
      <c r="AM15" s="252"/>
      <c r="AN15" s="533"/>
      <c r="AO15" s="252"/>
      <c r="AP15" s="533"/>
      <c r="AQ15" s="252"/>
      <c r="AR15" s="533"/>
      <c r="AS15" s="252"/>
      <c r="AT15" s="528"/>
      <c r="AU15" s="472">
        <f t="shared" si="20"/>
        <v>0</v>
      </c>
      <c r="AV15" s="474">
        <f t="shared" si="21"/>
        <v>0</v>
      </c>
      <c r="AW15" s="715">
        <f>'t1'!AQ13</f>
        <v>0</v>
      </c>
    </row>
    <row r="16" spans="1:51" ht="13.2" customHeight="1" x14ac:dyDescent="0.2">
      <c r="A16" s="135" t="str">
        <f>'t1'!A14</f>
        <v>MEDICO I FASCIA T.D.</v>
      </c>
      <c r="B16" s="201" t="str">
        <f>'t1'!B14</f>
        <v>0D0496</v>
      </c>
      <c r="C16" s="734">
        <f t="shared" si="0"/>
        <v>0</v>
      </c>
      <c r="D16" s="735">
        <f t="shared" si="1"/>
        <v>0</v>
      </c>
      <c r="E16" s="734">
        <f t="shared" si="2"/>
        <v>0</v>
      </c>
      <c r="F16" s="735">
        <f t="shared" si="3"/>
        <v>0</v>
      </c>
      <c r="G16" s="734">
        <f t="shared" si="4"/>
        <v>0</v>
      </c>
      <c r="H16" s="735">
        <f t="shared" si="5"/>
        <v>0</v>
      </c>
      <c r="I16" s="734">
        <f t="shared" si="6"/>
        <v>0</v>
      </c>
      <c r="J16" s="735">
        <f t="shared" si="7"/>
        <v>0</v>
      </c>
      <c r="K16" s="734">
        <f t="shared" si="8"/>
        <v>0</v>
      </c>
      <c r="L16" s="735">
        <f t="shared" si="9"/>
        <v>0</v>
      </c>
      <c r="M16" s="734">
        <f t="shared" si="10"/>
        <v>0</v>
      </c>
      <c r="N16" s="735">
        <f t="shared" si="11"/>
        <v>0</v>
      </c>
      <c r="O16" s="734">
        <f t="shared" si="12"/>
        <v>0</v>
      </c>
      <c r="P16" s="736">
        <f t="shared" si="13"/>
        <v>0</v>
      </c>
      <c r="Q16" s="734">
        <f t="shared" si="14"/>
        <v>0</v>
      </c>
      <c r="R16" s="736">
        <f t="shared" si="15"/>
        <v>0</v>
      </c>
      <c r="S16" s="734">
        <f t="shared" si="16"/>
        <v>0</v>
      </c>
      <c r="T16" s="736">
        <f t="shared" si="17"/>
        <v>0</v>
      </c>
      <c r="U16" s="734">
        <f t="shared" si="18"/>
        <v>0</v>
      </c>
      <c r="V16" s="737">
        <f t="shared" si="19"/>
        <v>0</v>
      </c>
      <c r="W16" s="472">
        <f t="shared" si="19"/>
        <v>0</v>
      </c>
      <c r="X16" s="474">
        <f t="shared" si="19"/>
        <v>0</v>
      </c>
      <c r="Y16" s="715">
        <f>'t1'!M14</f>
        <v>0</v>
      </c>
      <c r="AA16" s="252"/>
      <c r="AB16" s="253"/>
      <c r="AC16" s="252"/>
      <c r="AD16" s="253"/>
      <c r="AE16" s="252"/>
      <c r="AF16" s="253"/>
      <c r="AG16" s="252"/>
      <c r="AH16" s="253"/>
      <c r="AI16" s="252"/>
      <c r="AJ16" s="253"/>
      <c r="AK16" s="252"/>
      <c r="AL16" s="253"/>
      <c r="AM16" s="252"/>
      <c r="AN16" s="533"/>
      <c r="AO16" s="252"/>
      <c r="AP16" s="533"/>
      <c r="AQ16" s="252"/>
      <c r="AR16" s="533"/>
      <c r="AS16" s="252"/>
      <c r="AT16" s="528"/>
      <c r="AU16" s="472">
        <f t="shared" si="20"/>
        <v>0</v>
      </c>
      <c r="AV16" s="474">
        <f t="shared" si="21"/>
        <v>0</v>
      </c>
      <c r="AW16" s="715">
        <f>'t1'!AQ14</f>
        <v>0</v>
      </c>
    </row>
    <row r="17" spans="1:49" ht="13.2" customHeight="1" x14ac:dyDescent="0.2">
      <c r="A17" s="135" t="str">
        <f>'t1'!A15</f>
        <v>PROF.STI LEGALI LIV. II DIFF.</v>
      </c>
      <c r="B17" s="201" t="str">
        <f>'t1'!B15</f>
        <v>0D0473</v>
      </c>
      <c r="C17" s="734">
        <f t="shared" si="0"/>
        <v>0</v>
      </c>
      <c r="D17" s="735">
        <f t="shared" si="1"/>
        <v>0</v>
      </c>
      <c r="E17" s="734">
        <f t="shared" si="2"/>
        <v>0</v>
      </c>
      <c r="F17" s="735">
        <f t="shared" si="3"/>
        <v>0</v>
      </c>
      <c r="G17" s="734">
        <f t="shared" si="4"/>
        <v>0</v>
      </c>
      <c r="H17" s="735">
        <f t="shared" si="5"/>
        <v>0</v>
      </c>
      <c r="I17" s="734">
        <f t="shared" si="6"/>
        <v>0</v>
      </c>
      <c r="J17" s="735">
        <f t="shared" si="7"/>
        <v>0</v>
      </c>
      <c r="K17" s="734">
        <f t="shared" si="8"/>
        <v>0</v>
      </c>
      <c r="L17" s="735">
        <f t="shared" si="9"/>
        <v>0</v>
      </c>
      <c r="M17" s="734">
        <f t="shared" si="10"/>
        <v>0</v>
      </c>
      <c r="N17" s="735">
        <f t="shared" si="11"/>
        <v>0</v>
      </c>
      <c r="O17" s="734">
        <f t="shared" si="12"/>
        <v>0</v>
      </c>
      <c r="P17" s="736">
        <f t="shared" si="13"/>
        <v>0</v>
      </c>
      <c r="Q17" s="734">
        <f t="shared" si="14"/>
        <v>0</v>
      </c>
      <c r="R17" s="736">
        <f t="shared" si="15"/>
        <v>0</v>
      </c>
      <c r="S17" s="734">
        <f t="shared" si="16"/>
        <v>0</v>
      </c>
      <c r="T17" s="736">
        <f t="shared" si="17"/>
        <v>0</v>
      </c>
      <c r="U17" s="734">
        <f t="shared" si="18"/>
        <v>0</v>
      </c>
      <c r="V17" s="737">
        <f t="shared" si="19"/>
        <v>0</v>
      </c>
      <c r="W17" s="472">
        <f t="shared" si="19"/>
        <v>0</v>
      </c>
      <c r="X17" s="474">
        <f t="shared" si="19"/>
        <v>0</v>
      </c>
      <c r="Y17" s="715">
        <f>'t1'!M15</f>
        <v>0</v>
      </c>
      <c r="AA17" s="252"/>
      <c r="AB17" s="253"/>
      <c r="AC17" s="252"/>
      <c r="AD17" s="253"/>
      <c r="AE17" s="252"/>
      <c r="AF17" s="253"/>
      <c r="AG17" s="252"/>
      <c r="AH17" s="253"/>
      <c r="AI17" s="252"/>
      <c r="AJ17" s="253"/>
      <c r="AK17" s="252"/>
      <c r="AL17" s="253"/>
      <c r="AM17" s="252"/>
      <c r="AN17" s="533"/>
      <c r="AO17" s="252"/>
      <c r="AP17" s="533"/>
      <c r="AQ17" s="252"/>
      <c r="AR17" s="533"/>
      <c r="AS17" s="252"/>
      <c r="AT17" s="528"/>
      <c r="AU17" s="472">
        <f t="shared" si="20"/>
        <v>0</v>
      </c>
      <c r="AV17" s="474">
        <f t="shared" si="21"/>
        <v>0</v>
      </c>
      <c r="AW17" s="715">
        <f>'t1'!AQ15</f>
        <v>0</v>
      </c>
    </row>
    <row r="18" spans="1:49" ht="13.2" customHeight="1" x14ac:dyDescent="0.2">
      <c r="A18" s="135" t="str">
        <f>'t1'!A16</f>
        <v>PROF.STI LEGALI LIV. I DIFF.</v>
      </c>
      <c r="B18" s="201" t="str">
        <f>'t1'!B16</f>
        <v>0D0472</v>
      </c>
      <c r="C18" s="734">
        <f t="shared" si="0"/>
        <v>0</v>
      </c>
      <c r="D18" s="735">
        <f t="shared" si="1"/>
        <v>0</v>
      </c>
      <c r="E18" s="734">
        <f t="shared" si="2"/>
        <v>0</v>
      </c>
      <c r="F18" s="735">
        <f t="shared" si="3"/>
        <v>0</v>
      </c>
      <c r="G18" s="734">
        <f t="shared" si="4"/>
        <v>0</v>
      </c>
      <c r="H18" s="735">
        <f t="shared" si="5"/>
        <v>0</v>
      </c>
      <c r="I18" s="734">
        <f t="shared" si="6"/>
        <v>0</v>
      </c>
      <c r="J18" s="735">
        <f t="shared" si="7"/>
        <v>0</v>
      </c>
      <c r="K18" s="734">
        <f t="shared" si="8"/>
        <v>0</v>
      </c>
      <c r="L18" s="735">
        <f t="shared" si="9"/>
        <v>0</v>
      </c>
      <c r="M18" s="734">
        <f t="shared" si="10"/>
        <v>0</v>
      </c>
      <c r="N18" s="735">
        <f t="shared" si="11"/>
        <v>0</v>
      </c>
      <c r="O18" s="734">
        <f t="shared" si="12"/>
        <v>0</v>
      </c>
      <c r="P18" s="736">
        <f t="shared" si="13"/>
        <v>0</v>
      </c>
      <c r="Q18" s="734">
        <f t="shared" si="14"/>
        <v>0</v>
      </c>
      <c r="R18" s="736">
        <f t="shared" si="15"/>
        <v>0</v>
      </c>
      <c r="S18" s="734">
        <f t="shared" si="16"/>
        <v>0</v>
      </c>
      <c r="T18" s="736">
        <f t="shared" si="17"/>
        <v>0</v>
      </c>
      <c r="U18" s="734">
        <f t="shared" si="18"/>
        <v>0</v>
      </c>
      <c r="V18" s="737">
        <f t="shared" si="19"/>
        <v>0</v>
      </c>
      <c r="W18" s="472">
        <f t="shared" si="19"/>
        <v>0</v>
      </c>
      <c r="X18" s="474">
        <f t="shared" si="19"/>
        <v>0</v>
      </c>
      <c r="Y18" s="715">
        <f>'t1'!M16</f>
        <v>0</v>
      </c>
      <c r="AA18" s="252"/>
      <c r="AB18" s="253"/>
      <c r="AC18" s="252"/>
      <c r="AD18" s="253"/>
      <c r="AE18" s="252"/>
      <c r="AF18" s="253"/>
      <c r="AG18" s="252"/>
      <c r="AH18" s="253"/>
      <c r="AI18" s="252"/>
      <c r="AJ18" s="253"/>
      <c r="AK18" s="252"/>
      <c r="AL18" s="253"/>
      <c r="AM18" s="252"/>
      <c r="AN18" s="533"/>
      <c r="AO18" s="252"/>
      <c r="AP18" s="533"/>
      <c r="AQ18" s="252"/>
      <c r="AR18" s="533"/>
      <c r="AS18" s="252"/>
      <c r="AT18" s="528"/>
      <c r="AU18" s="472">
        <f t="shared" si="20"/>
        <v>0</v>
      </c>
      <c r="AV18" s="474">
        <f t="shared" si="21"/>
        <v>0</v>
      </c>
      <c r="AW18" s="715">
        <f>'t1'!AQ16</f>
        <v>0</v>
      </c>
    </row>
    <row r="19" spans="1:49" ht="13.2" customHeight="1" x14ac:dyDescent="0.2">
      <c r="A19" s="135" t="str">
        <f>'t1'!A17</f>
        <v>PROF.STI LEGALI</v>
      </c>
      <c r="B19" s="201" t="str">
        <f>'t1'!B17</f>
        <v>0D0084</v>
      </c>
      <c r="C19" s="734">
        <f t="shared" si="0"/>
        <v>0</v>
      </c>
      <c r="D19" s="735">
        <f t="shared" si="1"/>
        <v>0</v>
      </c>
      <c r="E19" s="734">
        <f t="shared" si="2"/>
        <v>0</v>
      </c>
      <c r="F19" s="735">
        <f t="shared" si="3"/>
        <v>0</v>
      </c>
      <c r="G19" s="734">
        <f t="shared" si="4"/>
        <v>0</v>
      </c>
      <c r="H19" s="735">
        <f t="shared" si="5"/>
        <v>0</v>
      </c>
      <c r="I19" s="734">
        <f t="shared" si="6"/>
        <v>0</v>
      </c>
      <c r="J19" s="735">
        <f t="shared" si="7"/>
        <v>0</v>
      </c>
      <c r="K19" s="734">
        <f t="shared" si="8"/>
        <v>0</v>
      </c>
      <c r="L19" s="735">
        <f t="shared" si="9"/>
        <v>0</v>
      </c>
      <c r="M19" s="734">
        <f t="shared" si="10"/>
        <v>0</v>
      </c>
      <c r="N19" s="735">
        <f t="shared" si="11"/>
        <v>0</v>
      </c>
      <c r="O19" s="734">
        <f t="shared" si="12"/>
        <v>0</v>
      </c>
      <c r="P19" s="736">
        <f t="shared" si="13"/>
        <v>0</v>
      </c>
      <c r="Q19" s="734">
        <f t="shared" si="14"/>
        <v>0</v>
      </c>
      <c r="R19" s="736">
        <f t="shared" si="15"/>
        <v>0</v>
      </c>
      <c r="S19" s="734">
        <f t="shared" si="16"/>
        <v>0</v>
      </c>
      <c r="T19" s="736">
        <f t="shared" si="17"/>
        <v>0</v>
      </c>
      <c r="U19" s="734">
        <f t="shared" si="18"/>
        <v>0</v>
      </c>
      <c r="V19" s="737">
        <f t="shared" si="19"/>
        <v>0</v>
      </c>
      <c r="W19" s="472">
        <f t="shared" si="19"/>
        <v>0</v>
      </c>
      <c r="X19" s="474">
        <f t="shared" si="19"/>
        <v>0</v>
      </c>
      <c r="Y19" s="715">
        <f>'t1'!M17</f>
        <v>0</v>
      </c>
      <c r="AA19" s="252"/>
      <c r="AB19" s="253"/>
      <c r="AC19" s="252"/>
      <c r="AD19" s="253"/>
      <c r="AE19" s="252"/>
      <c r="AF19" s="253"/>
      <c r="AG19" s="252"/>
      <c r="AH19" s="253"/>
      <c r="AI19" s="252"/>
      <c r="AJ19" s="253"/>
      <c r="AK19" s="252"/>
      <c r="AL19" s="253"/>
      <c r="AM19" s="252"/>
      <c r="AN19" s="533"/>
      <c r="AO19" s="252"/>
      <c r="AP19" s="533"/>
      <c r="AQ19" s="252"/>
      <c r="AR19" s="533"/>
      <c r="AS19" s="252"/>
      <c r="AT19" s="528"/>
      <c r="AU19" s="472">
        <f t="shared" si="20"/>
        <v>0</v>
      </c>
      <c r="AV19" s="474">
        <f t="shared" si="21"/>
        <v>0</v>
      </c>
      <c r="AW19" s="715">
        <f>'t1'!AQ17</f>
        <v>0</v>
      </c>
    </row>
    <row r="20" spans="1:49" ht="13.2" customHeight="1" x14ac:dyDescent="0.2">
      <c r="A20" s="135" t="str">
        <f>'t1'!A18</f>
        <v>ALTRI PROF.STI LIV. II DIFF.</v>
      </c>
      <c r="B20" s="201" t="str">
        <f>'t1'!B18</f>
        <v>0D0481</v>
      </c>
      <c r="C20" s="734">
        <f t="shared" si="0"/>
        <v>0</v>
      </c>
      <c r="D20" s="735">
        <f t="shared" si="1"/>
        <v>0</v>
      </c>
      <c r="E20" s="734">
        <f t="shared" si="2"/>
        <v>0</v>
      </c>
      <c r="F20" s="735">
        <f t="shared" si="3"/>
        <v>0</v>
      </c>
      <c r="G20" s="734">
        <f t="shared" si="4"/>
        <v>0</v>
      </c>
      <c r="H20" s="735">
        <f t="shared" si="5"/>
        <v>0</v>
      </c>
      <c r="I20" s="734">
        <f t="shared" si="6"/>
        <v>0</v>
      </c>
      <c r="J20" s="735">
        <f t="shared" si="7"/>
        <v>0</v>
      </c>
      <c r="K20" s="734">
        <f t="shared" si="8"/>
        <v>0</v>
      </c>
      <c r="L20" s="735">
        <f t="shared" si="9"/>
        <v>0</v>
      </c>
      <c r="M20" s="734">
        <f t="shared" si="10"/>
        <v>0</v>
      </c>
      <c r="N20" s="735">
        <f t="shared" si="11"/>
        <v>0</v>
      </c>
      <c r="O20" s="734">
        <f t="shared" si="12"/>
        <v>0</v>
      </c>
      <c r="P20" s="736">
        <f t="shared" si="13"/>
        <v>0</v>
      </c>
      <c r="Q20" s="734">
        <f t="shared" si="14"/>
        <v>0</v>
      </c>
      <c r="R20" s="736">
        <f t="shared" si="15"/>
        <v>0</v>
      </c>
      <c r="S20" s="734">
        <f t="shared" si="16"/>
        <v>0</v>
      </c>
      <c r="T20" s="736">
        <f t="shared" si="17"/>
        <v>0</v>
      </c>
      <c r="U20" s="734">
        <f t="shared" si="18"/>
        <v>0</v>
      </c>
      <c r="V20" s="737">
        <f t="shared" si="19"/>
        <v>0</v>
      </c>
      <c r="W20" s="472">
        <f t="shared" si="19"/>
        <v>0</v>
      </c>
      <c r="X20" s="474">
        <f t="shared" si="19"/>
        <v>0</v>
      </c>
      <c r="Y20" s="715">
        <f>'t1'!M18</f>
        <v>0</v>
      </c>
      <c r="AA20" s="252"/>
      <c r="AB20" s="253"/>
      <c r="AC20" s="252"/>
      <c r="AD20" s="253"/>
      <c r="AE20" s="252"/>
      <c r="AF20" s="253"/>
      <c r="AG20" s="252"/>
      <c r="AH20" s="253"/>
      <c r="AI20" s="252"/>
      <c r="AJ20" s="253"/>
      <c r="AK20" s="252"/>
      <c r="AL20" s="253"/>
      <c r="AM20" s="252"/>
      <c r="AN20" s="533"/>
      <c r="AO20" s="252"/>
      <c r="AP20" s="533"/>
      <c r="AQ20" s="252"/>
      <c r="AR20" s="533"/>
      <c r="AS20" s="252"/>
      <c r="AT20" s="528"/>
      <c r="AU20" s="472">
        <f t="shared" si="20"/>
        <v>0</v>
      </c>
      <c r="AV20" s="474">
        <f t="shared" si="21"/>
        <v>0</v>
      </c>
      <c r="AW20" s="715">
        <f>'t1'!AQ18</f>
        <v>0</v>
      </c>
    </row>
    <row r="21" spans="1:49" ht="13.2" customHeight="1" x14ac:dyDescent="0.2">
      <c r="A21" s="135" t="str">
        <f>'t1'!A19</f>
        <v>ALTRI PROF.STI LIV. I DIFF.</v>
      </c>
      <c r="B21" s="201" t="str">
        <f>'t1'!B19</f>
        <v>0D0480</v>
      </c>
      <c r="C21" s="734">
        <f t="shared" si="0"/>
        <v>0</v>
      </c>
      <c r="D21" s="735">
        <f t="shared" si="1"/>
        <v>0</v>
      </c>
      <c r="E21" s="734">
        <f t="shared" si="2"/>
        <v>0</v>
      </c>
      <c r="F21" s="735">
        <f t="shared" si="3"/>
        <v>0</v>
      </c>
      <c r="G21" s="734">
        <f t="shared" si="4"/>
        <v>0</v>
      </c>
      <c r="H21" s="735">
        <f t="shared" si="5"/>
        <v>0</v>
      </c>
      <c r="I21" s="734">
        <f t="shared" si="6"/>
        <v>0</v>
      </c>
      <c r="J21" s="735">
        <f t="shared" si="7"/>
        <v>0</v>
      </c>
      <c r="K21" s="734">
        <f t="shared" si="8"/>
        <v>0</v>
      </c>
      <c r="L21" s="735">
        <f t="shared" si="9"/>
        <v>0</v>
      </c>
      <c r="M21" s="734">
        <f t="shared" si="10"/>
        <v>0</v>
      </c>
      <c r="N21" s="735">
        <f t="shared" si="11"/>
        <v>0</v>
      </c>
      <c r="O21" s="734">
        <f t="shared" si="12"/>
        <v>0</v>
      </c>
      <c r="P21" s="736">
        <f t="shared" si="13"/>
        <v>0</v>
      </c>
      <c r="Q21" s="734">
        <f t="shared" si="14"/>
        <v>0</v>
      </c>
      <c r="R21" s="736">
        <f t="shared" si="15"/>
        <v>0</v>
      </c>
      <c r="S21" s="734">
        <f t="shared" si="16"/>
        <v>0</v>
      </c>
      <c r="T21" s="736">
        <f t="shared" si="17"/>
        <v>0</v>
      </c>
      <c r="U21" s="734">
        <f t="shared" si="18"/>
        <v>0</v>
      </c>
      <c r="V21" s="737">
        <f t="shared" si="19"/>
        <v>0</v>
      </c>
      <c r="W21" s="472">
        <f t="shared" si="19"/>
        <v>0</v>
      </c>
      <c r="X21" s="474">
        <f t="shared" si="19"/>
        <v>0</v>
      </c>
      <c r="Y21" s="715">
        <f>'t1'!M19</f>
        <v>0</v>
      </c>
      <c r="AA21" s="252"/>
      <c r="AB21" s="253"/>
      <c r="AC21" s="252"/>
      <c r="AD21" s="253"/>
      <c r="AE21" s="252"/>
      <c r="AF21" s="253"/>
      <c r="AG21" s="252"/>
      <c r="AH21" s="253"/>
      <c r="AI21" s="252"/>
      <c r="AJ21" s="253"/>
      <c r="AK21" s="252"/>
      <c r="AL21" s="253"/>
      <c r="AM21" s="252"/>
      <c r="AN21" s="533"/>
      <c r="AO21" s="252"/>
      <c r="AP21" s="533"/>
      <c r="AQ21" s="252"/>
      <c r="AR21" s="533"/>
      <c r="AS21" s="252"/>
      <c r="AT21" s="528"/>
      <c r="AU21" s="472">
        <f t="shared" si="20"/>
        <v>0</v>
      </c>
      <c r="AV21" s="474">
        <f t="shared" si="21"/>
        <v>0</v>
      </c>
      <c r="AW21" s="715">
        <f>'t1'!AQ19</f>
        <v>0</v>
      </c>
    </row>
    <row r="22" spans="1:49" ht="13.2" customHeight="1" x14ac:dyDescent="0.2">
      <c r="A22" s="135" t="str">
        <f>'t1'!A20</f>
        <v>ALTRI PROF.STI</v>
      </c>
      <c r="B22" s="201" t="str">
        <f>'t1'!B20</f>
        <v>0D0075</v>
      </c>
      <c r="C22" s="734">
        <f t="shared" si="0"/>
        <v>0</v>
      </c>
      <c r="D22" s="735">
        <f t="shared" si="1"/>
        <v>0</v>
      </c>
      <c r="E22" s="734">
        <f t="shared" si="2"/>
        <v>0</v>
      </c>
      <c r="F22" s="735">
        <f t="shared" si="3"/>
        <v>0</v>
      </c>
      <c r="G22" s="734">
        <f t="shared" si="4"/>
        <v>0</v>
      </c>
      <c r="H22" s="735">
        <f t="shared" si="5"/>
        <v>0</v>
      </c>
      <c r="I22" s="734">
        <f t="shared" si="6"/>
        <v>0</v>
      </c>
      <c r="J22" s="735">
        <f t="shared" si="7"/>
        <v>0</v>
      </c>
      <c r="K22" s="734">
        <f t="shared" si="8"/>
        <v>0</v>
      </c>
      <c r="L22" s="735">
        <f t="shared" si="9"/>
        <v>0</v>
      </c>
      <c r="M22" s="734">
        <f t="shared" si="10"/>
        <v>0</v>
      </c>
      <c r="N22" s="735">
        <f t="shared" si="11"/>
        <v>0</v>
      </c>
      <c r="O22" s="734">
        <f t="shared" si="12"/>
        <v>0</v>
      </c>
      <c r="P22" s="736">
        <f t="shared" si="13"/>
        <v>0</v>
      </c>
      <c r="Q22" s="734">
        <f t="shared" si="14"/>
        <v>0</v>
      </c>
      <c r="R22" s="736">
        <f t="shared" si="15"/>
        <v>0</v>
      </c>
      <c r="S22" s="734">
        <f t="shared" si="16"/>
        <v>0</v>
      </c>
      <c r="T22" s="736">
        <f t="shared" si="17"/>
        <v>0</v>
      </c>
      <c r="U22" s="734">
        <f t="shared" si="18"/>
        <v>0</v>
      </c>
      <c r="V22" s="737">
        <f t="shared" si="19"/>
        <v>0</v>
      </c>
      <c r="W22" s="472">
        <f t="shared" si="19"/>
        <v>0</v>
      </c>
      <c r="X22" s="474">
        <f t="shared" si="19"/>
        <v>0</v>
      </c>
      <c r="Y22" s="715">
        <f>'t1'!M20</f>
        <v>0</v>
      </c>
      <c r="AA22" s="252"/>
      <c r="AB22" s="253"/>
      <c r="AC22" s="252"/>
      <c r="AD22" s="253"/>
      <c r="AE22" s="252"/>
      <c r="AF22" s="253"/>
      <c r="AG22" s="252"/>
      <c r="AH22" s="253"/>
      <c r="AI22" s="252"/>
      <c r="AJ22" s="253"/>
      <c r="AK22" s="252"/>
      <c r="AL22" s="253"/>
      <c r="AM22" s="252"/>
      <c r="AN22" s="533"/>
      <c r="AO22" s="252"/>
      <c r="AP22" s="533"/>
      <c r="AQ22" s="252"/>
      <c r="AR22" s="533"/>
      <c r="AS22" s="252"/>
      <c r="AT22" s="528"/>
      <c r="AU22" s="472">
        <f t="shared" si="20"/>
        <v>0</v>
      </c>
      <c r="AV22" s="474">
        <f t="shared" si="21"/>
        <v>0</v>
      </c>
      <c r="AW22" s="715">
        <f>'t1'!AQ20</f>
        <v>0</v>
      </c>
    </row>
    <row r="23" spans="1:49" ht="13.2" customHeight="1" x14ac:dyDescent="0.2">
      <c r="A23" s="135" t="str">
        <f>'t1'!A21</f>
        <v>ELEVATE PROFESSIONALITA'</v>
      </c>
      <c r="B23" s="201" t="str">
        <f>'t1'!B21</f>
        <v>0EP981</v>
      </c>
      <c r="C23" s="734">
        <f t="shared" ref="C23:L27" si="22">ROUND(AA23,0)</f>
        <v>0</v>
      </c>
      <c r="D23" s="735">
        <f t="shared" si="22"/>
        <v>0</v>
      </c>
      <c r="E23" s="734">
        <f t="shared" si="22"/>
        <v>0</v>
      </c>
      <c r="F23" s="735">
        <f t="shared" si="22"/>
        <v>0</v>
      </c>
      <c r="G23" s="734">
        <f t="shared" si="22"/>
        <v>0</v>
      </c>
      <c r="H23" s="735">
        <f t="shared" si="22"/>
        <v>0</v>
      </c>
      <c r="I23" s="734">
        <f t="shared" si="22"/>
        <v>0</v>
      </c>
      <c r="J23" s="735">
        <f t="shared" si="22"/>
        <v>0</v>
      </c>
      <c r="K23" s="734">
        <f t="shared" si="22"/>
        <v>0</v>
      </c>
      <c r="L23" s="735">
        <f t="shared" si="22"/>
        <v>0</v>
      </c>
      <c r="M23" s="734">
        <f t="shared" ref="M23:M27" si="23">ROUND(AK23,0)</f>
        <v>0</v>
      </c>
      <c r="N23" s="735">
        <f t="shared" ref="N23:N27" si="24">ROUND(AL23,0)</f>
        <v>0</v>
      </c>
      <c r="O23" s="734">
        <f t="shared" ref="O23:O27" si="25">ROUND(AM23,0)</f>
        <v>0</v>
      </c>
      <c r="P23" s="736">
        <f t="shared" ref="P23:P27" si="26">ROUND(AN23,0)</f>
        <v>0</v>
      </c>
      <c r="Q23" s="734">
        <f t="shared" ref="Q23:Q27" si="27">ROUND(AO23,0)</f>
        <v>0</v>
      </c>
      <c r="R23" s="736">
        <f t="shared" ref="R23:R27" si="28">ROUND(AP23,0)</f>
        <v>0</v>
      </c>
      <c r="S23" s="734">
        <f t="shared" ref="S23:S27" si="29">ROUND(AQ23,0)</f>
        <v>0</v>
      </c>
      <c r="T23" s="736">
        <f t="shared" ref="T23:T27" si="30">ROUND(AR23,0)</f>
        <v>0</v>
      </c>
      <c r="U23" s="734">
        <f t="shared" ref="U23:U27" si="31">ROUND(AS23,0)</f>
        <v>0</v>
      </c>
      <c r="V23" s="737">
        <f t="shared" ref="V23:X27" si="32">ROUND(AT23,0)</f>
        <v>0</v>
      </c>
      <c r="W23" s="472">
        <f t="shared" si="32"/>
        <v>0</v>
      </c>
      <c r="X23" s="474">
        <f t="shared" si="32"/>
        <v>0</v>
      </c>
      <c r="Y23" s="715">
        <f>'t1'!M21</f>
        <v>0</v>
      </c>
      <c r="AA23" s="252"/>
      <c r="AB23" s="253"/>
      <c r="AC23" s="252"/>
      <c r="AD23" s="253"/>
      <c r="AE23" s="252"/>
      <c r="AF23" s="253"/>
      <c r="AG23" s="252"/>
      <c r="AH23" s="253"/>
      <c r="AI23" s="252"/>
      <c r="AJ23" s="253"/>
      <c r="AK23" s="252"/>
      <c r="AL23" s="253"/>
      <c r="AM23" s="252"/>
      <c r="AN23" s="533"/>
      <c r="AO23" s="252"/>
      <c r="AP23" s="533"/>
      <c r="AQ23" s="252"/>
      <c r="AR23" s="533"/>
      <c r="AS23" s="252"/>
      <c r="AT23" s="528"/>
      <c r="AU23" s="472">
        <f t="shared" si="20"/>
        <v>0</v>
      </c>
      <c r="AV23" s="474">
        <f t="shared" si="21"/>
        <v>0</v>
      </c>
      <c r="AW23" s="715">
        <f>'t1'!AQ21</f>
        <v>0</v>
      </c>
    </row>
    <row r="24" spans="1:49" ht="13.2" customHeight="1" x14ac:dyDescent="0.2">
      <c r="A24" s="135" t="str">
        <f>'t1'!A22</f>
        <v>FUNZIONARI</v>
      </c>
      <c r="B24" s="201" t="str">
        <f>'t1'!B22</f>
        <v>0FZ000</v>
      </c>
      <c r="C24" s="734">
        <f t="shared" si="22"/>
        <v>0</v>
      </c>
      <c r="D24" s="735">
        <f t="shared" si="22"/>
        <v>0</v>
      </c>
      <c r="E24" s="734">
        <f t="shared" si="22"/>
        <v>0</v>
      </c>
      <c r="F24" s="735">
        <f t="shared" si="22"/>
        <v>0</v>
      </c>
      <c r="G24" s="734">
        <f t="shared" si="22"/>
        <v>0</v>
      </c>
      <c r="H24" s="735">
        <f t="shared" si="22"/>
        <v>0</v>
      </c>
      <c r="I24" s="734">
        <f t="shared" si="22"/>
        <v>0</v>
      </c>
      <c r="J24" s="735">
        <f t="shared" si="22"/>
        <v>0</v>
      </c>
      <c r="K24" s="734">
        <f t="shared" si="22"/>
        <v>0</v>
      </c>
      <c r="L24" s="735">
        <f t="shared" si="22"/>
        <v>0</v>
      </c>
      <c r="M24" s="734">
        <f t="shared" si="23"/>
        <v>0</v>
      </c>
      <c r="N24" s="735">
        <f t="shared" si="24"/>
        <v>0</v>
      </c>
      <c r="O24" s="734">
        <f t="shared" si="25"/>
        <v>0</v>
      </c>
      <c r="P24" s="736">
        <f t="shared" si="26"/>
        <v>0</v>
      </c>
      <c r="Q24" s="734">
        <f t="shared" si="27"/>
        <v>0</v>
      </c>
      <c r="R24" s="736">
        <f t="shared" si="28"/>
        <v>0</v>
      </c>
      <c r="S24" s="734">
        <f t="shared" si="29"/>
        <v>0</v>
      </c>
      <c r="T24" s="736">
        <f t="shared" si="30"/>
        <v>0</v>
      </c>
      <c r="U24" s="734">
        <f t="shared" si="31"/>
        <v>0</v>
      </c>
      <c r="V24" s="737">
        <f t="shared" si="32"/>
        <v>0</v>
      </c>
      <c r="W24" s="472">
        <f t="shared" si="32"/>
        <v>0</v>
      </c>
      <c r="X24" s="474">
        <f t="shared" si="32"/>
        <v>0</v>
      </c>
      <c r="Y24" s="715">
        <f>'t1'!M22</f>
        <v>0</v>
      </c>
      <c r="AA24" s="252"/>
      <c r="AB24" s="253"/>
      <c r="AC24" s="252"/>
      <c r="AD24" s="253"/>
      <c r="AE24" s="252"/>
      <c r="AF24" s="253"/>
      <c r="AG24" s="252"/>
      <c r="AH24" s="253"/>
      <c r="AI24" s="252"/>
      <c r="AJ24" s="253"/>
      <c r="AK24" s="252"/>
      <c r="AL24" s="253"/>
      <c r="AM24" s="252"/>
      <c r="AN24" s="533"/>
      <c r="AO24" s="252"/>
      <c r="AP24" s="533"/>
      <c r="AQ24" s="252"/>
      <c r="AR24" s="533"/>
      <c r="AS24" s="252"/>
      <c r="AT24" s="528"/>
      <c r="AU24" s="472">
        <f t="shared" si="20"/>
        <v>0</v>
      </c>
      <c r="AV24" s="474">
        <f t="shared" si="21"/>
        <v>0</v>
      </c>
      <c r="AW24" s="715">
        <f>'t1'!AQ22</f>
        <v>0</v>
      </c>
    </row>
    <row r="25" spans="1:49" ht="13.2" customHeight="1" x14ac:dyDescent="0.2">
      <c r="A25" s="135" t="str">
        <f>'t1'!A23</f>
        <v>ASSISTENTI</v>
      </c>
      <c r="B25" s="201" t="str">
        <f>'t1'!B23</f>
        <v>0AS000</v>
      </c>
      <c r="C25" s="734">
        <f t="shared" si="22"/>
        <v>0</v>
      </c>
      <c r="D25" s="735">
        <f t="shared" si="22"/>
        <v>0</v>
      </c>
      <c r="E25" s="734">
        <f t="shared" si="22"/>
        <v>0</v>
      </c>
      <c r="F25" s="735">
        <f t="shared" si="22"/>
        <v>0</v>
      </c>
      <c r="G25" s="734">
        <f t="shared" si="22"/>
        <v>0</v>
      </c>
      <c r="H25" s="735">
        <f t="shared" si="22"/>
        <v>0</v>
      </c>
      <c r="I25" s="734">
        <f t="shared" si="22"/>
        <v>0</v>
      </c>
      <c r="J25" s="735">
        <f t="shared" si="22"/>
        <v>0</v>
      </c>
      <c r="K25" s="734">
        <f t="shared" si="22"/>
        <v>0</v>
      </c>
      <c r="L25" s="735">
        <f t="shared" si="22"/>
        <v>0</v>
      </c>
      <c r="M25" s="734">
        <f t="shared" si="23"/>
        <v>0</v>
      </c>
      <c r="N25" s="735">
        <f t="shared" si="24"/>
        <v>0</v>
      </c>
      <c r="O25" s="734">
        <f t="shared" si="25"/>
        <v>0</v>
      </c>
      <c r="P25" s="736">
        <f t="shared" si="26"/>
        <v>0</v>
      </c>
      <c r="Q25" s="734">
        <f t="shared" si="27"/>
        <v>0</v>
      </c>
      <c r="R25" s="736">
        <f t="shared" si="28"/>
        <v>0</v>
      </c>
      <c r="S25" s="734">
        <f t="shared" si="29"/>
        <v>0</v>
      </c>
      <c r="T25" s="736">
        <f t="shared" si="30"/>
        <v>0</v>
      </c>
      <c r="U25" s="734">
        <f t="shared" si="31"/>
        <v>0</v>
      </c>
      <c r="V25" s="737">
        <f t="shared" si="32"/>
        <v>0</v>
      </c>
      <c r="W25" s="472">
        <f t="shared" si="32"/>
        <v>0</v>
      </c>
      <c r="X25" s="474">
        <f t="shared" si="32"/>
        <v>0</v>
      </c>
      <c r="Y25" s="715">
        <f>'t1'!M23</f>
        <v>0</v>
      </c>
      <c r="AA25" s="252"/>
      <c r="AB25" s="253"/>
      <c r="AC25" s="252"/>
      <c r="AD25" s="253"/>
      <c r="AE25" s="252"/>
      <c r="AF25" s="253"/>
      <c r="AG25" s="252"/>
      <c r="AH25" s="253"/>
      <c r="AI25" s="252"/>
      <c r="AJ25" s="253"/>
      <c r="AK25" s="252"/>
      <c r="AL25" s="253"/>
      <c r="AM25" s="252"/>
      <c r="AN25" s="533"/>
      <c r="AO25" s="252"/>
      <c r="AP25" s="533"/>
      <c r="AQ25" s="252"/>
      <c r="AR25" s="533"/>
      <c r="AS25" s="252"/>
      <c r="AT25" s="528"/>
      <c r="AU25" s="472">
        <f t="shared" si="20"/>
        <v>0</v>
      </c>
      <c r="AV25" s="474">
        <f t="shared" si="21"/>
        <v>0</v>
      </c>
      <c r="AW25" s="715">
        <f>'t1'!AQ23</f>
        <v>0</v>
      </c>
    </row>
    <row r="26" spans="1:49" ht="13.2" customHeight="1" x14ac:dyDescent="0.2">
      <c r="A26" s="135" t="str">
        <f>'t1'!A24</f>
        <v>OPERATORI</v>
      </c>
      <c r="B26" s="201" t="str">
        <f>'t1'!B24</f>
        <v>0OP000</v>
      </c>
      <c r="C26" s="734">
        <f t="shared" si="22"/>
        <v>0</v>
      </c>
      <c r="D26" s="735">
        <f t="shared" si="22"/>
        <v>0</v>
      </c>
      <c r="E26" s="734">
        <f t="shared" si="22"/>
        <v>0</v>
      </c>
      <c r="F26" s="735">
        <f t="shared" si="22"/>
        <v>0</v>
      </c>
      <c r="G26" s="734">
        <f t="shared" si="22"/>
        <v>0</v>
      </c>
      <c r="H26" s="735">
        <f t="shared" si="22"/>
        <v>0</v>
      </c>
      <c r="I26" s="734">
        <f t="shared" si="22"/>
        <v>0</v>
      </c>
      <c r="J26" s="735">
        <f t="shared" si="22"/>
        <v>0</v>
      </c>
      <c r="K26" s="734">
        <f t="shared" si="22"/>
        <v>0</v>
      </c>
      <c r="L26" s="735">
        <f t="shared" si="22"/>
        <v>0</v>
      </c>
      <c r="M26" s="734">
        <f t="shared" si="23"/>
        <v>0</v>
      </c>
      <c r="N26" s="735">
        <f t="shared" si="24"/>
        <v>0</v>
      </c>
      <c r="O26" s="734">
        <f t="shared" si="25"/>
        <v>0</v>
      </c>
      <c r="P26" s="736">
        <f t="shared" si="26"/>
        <v>0</v>
      </c>
      <c r="Q26" s="734">
        <f t="shared" si="27"/>
        <v>0</v>
      </c>
      <c r="R26" s="736">
        <f t="shared" si="28"/>
        <v>0</v>
      </c>
      <c r="S26" s="734">
        <f t="shared" si="29"/>
        <v>0</v>
      </c>
      <c r="T26" s="736">
        <f t="shared" si="30"/>
        <v>0</v>
      </c>
      <c r="U26" s="734">
        <f t="shared" si="31"/>
        <v>0</v>
      </c>
      <c r="V26" s="737">
        <f t="shared" si="32"/>
        <v>0</v>
      </c>
      <c r="W26" s="472">
        <f t="shared" si="32"/>
        <v>0</v>
      </c>
      <c r="X26" s="474">
        <f t="shared" si="32"/>
        <v>0</v>
      </c>
      <c r="Y26" s="715">
        <f>'t1'!M24</f>
        <v>0</v>
      </c>
      <c r="AA26" s="252"/>
      <c r="AB26" s="253"/>
      <c r="AC26" s="252"/>
      <c r="AD26" s="253"/>
      <c r="AE26" s="252"/>
      <c r="AF26" s="253"/>
      <c r="AG26" s="252"/>
      <c r="AH26" s="253"/>
      <c r="AI26" s="252"/>
      <c r="AJ26" s="253"/>
      <c r="AK26" s="252"/>
      <c r="AL26" s="253"/>
      <c r="AM26" s="252"/>
      <c r="AN26" s="533"/>
      <c r="AO26" s="252"/>
      <c r="AP26" s="533"/>
      <c r="AQ26" s="252"/>
      <c r="AR26" s="533"/>
      <c r="AS26" s="252"/>
      <c r="AT26" s="528"/>
      <c r="AU26" s="472">
        <f t="shared" si="20"/>
        <v>0</v>
      </c>
      <c r="AV26" s="474">
        <f t="shared" si="21"/>
        <v>0</v>
      </c>
      <c r="AW26" s="715">
        <f>'t1'!AQ24</f>
        <v>0</v>
      </c>
    </row>
    <row r="27" spans="1:49" ht="13.2" customHeight="1" thickBot="1" x14ac:dyDescent="0.25">
      <c r="A27" s="135" t="str">
        <f>'t1'!A25</f>
        <v>CONTRATTISTI</v>
      </c>
      <c r="B27" s="201" t="str">
        <f>'t1'!B25</f>
        <v>000061</v>
      </c>
      <c r="C27" s="734">
        <f t="shared" si="22"/>
        <v>0</v>
      </c>
      <c r="D27" s="735">
        <f t="shared" si="22"/>
        <v>0</v>
      </c>
      <c r="E27" s="734">
        <f t="shared" si="22"/>
        <v>0</v>
      </c>
      <c r="F27" s="735">
        <f t="shared" si="22"/>
        <v>0</v>
      </c>
      <c r="G27" s="734">
        <f t="shared" si="22"/>
        <v>0</v>
      </c>
      <c r="H27" s="735">
        <f t="shared" si="22"/>
        <v>0</v>
      </c>
      <c r="I27" s="734">
        <f t="shared" si="22"/>
        <v>0</v>
      </c>
      <c r="J27" s="735">
        <f t="shared" si="22"/>
        <v>0</v>
      </c>
      <c r="K27" s="734">
        <f t="shared" si="22"/>
        <v>0</v>
      </c>
      <c r="L27" s="735">
        <f t="shared" si="22"/>
        <v>0</v>
      </c>
      <c r="M27" s="734">
        <f t="shared" si="23"/>
        <v>0</v>
      </c>
      <c r="N27" s="735">
        <f t="shared" si="24"/>
        <v>0</v>
      </c>
      <c r="O27" s="734">
        <f t="shared" si="25"/>
        <v>0</v>
      </c>
      <c r="P27" s="736">
        <f t="shared" si="26"/>
        <v>0</v>
      </c>
      <c r="Q27" s="734">
        <f t="shared" si="27"/>
        <v>0</v>
      </c>
      <c r="R27" s="736">
        <f t="shared" si="28"/>
        <v>0</v>
      </c>
      <c r="S27" s="734">
        <f t="shared" si="29"/>
        <v>0</v>
      </c>
      <c r="T27" s="736">
        <f t="shared" si="30"/>
        <v>0</v>
      </c>
      <c r="U27" s="734">
        <f t="shared" si="31"/>
        <v>0</v>
      </c>
      <c r="V27" s="737">
        <f t="shared" si="32"/>
        <v>0</v>
      </c>
      <c r="W27" s="472">
        <f t="shared" si="32"/>
        <v>0</v>
      </c>
      <c r="X27" s="474">
        <f t="shared" si="32"/>
        <v>0</v>
      </c>
      <c r="Y27" s="715">
        <f>'t1'!M25</f>
        <v>0</v>
      </c>
      <c r="AA27" s="252"/>
      <c r="AB27" s="253"/>
      <c r="AC27" s="252"/>
      <c r="AD27" s="253"/>
      <c r="AE27" s="252"/>
      <c r="AF27" s="253"/>
      <c r="AG27" s="252"/>
      <c r="AH27" s="253"/>
      <c r="AI27" s="252"/>
      <c r="AJ27" s="253"/>
      <c r="AK27" s="252"/>
      <c r="AL27" s="253"/>
      <c r="AM27" s="252"/>
      <c r="AN27" s="533"/>
      <c r="AO27" s="252"/>
      <c r="AP27" s="533"/>
      <c r="AQ27" s="252"/>
      <c r="AR27" s="533"/>
      <c r="AS27" s="252"/>
      <c r="AT27" s="528"/>
      <c r="AU27" s="472">
        <f t="shared" si="20"/>
        <v>0</v>
      </c>
      <c r="AV27" s="474">
        <f t="shared" si="21"/>
        <v>0</v>
      </c>
      <c r="AW27" s="715">
        <f>'t1'!AQ25</f>
        <v>0</v>
      </c>
    </row>
    <row r="28" spans="1:49" ht="13.2" customHeight="1" thickTop="1" thickBot="1" x14ac:dyDescent="0.25">
      <c r="A28" s="25" t="s">
        <v>60</v>
      </c>
      <c r="B28" s="557"/>
      <c r="C28" s="421">
        <f t="shared" ref="C28:X28" si="33">SUM(C8:C27)</f>
        <v>0</v>
      </c>
      <c r="D28" s="422">
        <f t="shared" si="33"/>
        <v>0</v>
      </c>
      <c r="E28" s="421">
        <f t="shared" si="33"/>
        <v>0</v>
      </c>
      <c r="F28" s="422">
        <f t="shared" si="33"/>
        <v>0</v>
      </c>
      <c r="G28" s="421">
        <f t="shared" si="33"/>
        <v>0</v>
      </c>
      <c r="H28" s="422">
        <f t="shared" si="33"/>
        <v>0</v>
      </c>
      <c r="I28" s="421">
        <f t="shared" si="33"/>
        <v>0</v>
      </c>
      <c r="J28" s="422">
        <f t="shared" si="33"/>
        <v>0</v>
      </c>
      <c r="K28" s="421">
        <f t="shared" si="33"/>
        <v>0</v>
      </c>
      <c r="L28" s="422">
        <f t="shared" si="33"/>
        <v>0</v>
      </c>
      <c r="M28" s="421">
        <f t="shared" si="33"/>
        <v>0</v>
      </c>
      <c r="N28" s="422">
        <f t="shared" si="33"/>
        <v>0</v>
      </c>
      <c r="O28" s="421">
        <f t="shared" si="33"/>
        <v>0</v>
      </c>
      <c r="P28" s="534">
        <f t="shared" si="33"/>
        <v>0</v>
      </c>
      <c r="Q28" s="421">
        <f t="shared" si="33"/>
        <v>0</v>
      </c>
      <c r="R28" s="534">
        <f t="shared" si="33"/>
        <v>0</v>
      </c>
      <c r="S28" s="421">
        <f t="shared" si="33"/>
        <v>0</v>
      </c>
      <c r="T28" s="534">
        <f t="shared" si="33"/>
        <v>0</v>
      </c>
      <c r="U28" s="421">
        <f t="shared" si="33"/>
        <v>0</v>
      </c>
      <c r="V28" s="529">
        <f t="shared" si="33"/>
        <v>0</v>
      </c>
      <c r="W28" s="421">
        <f t="shared" si="33"/>
        <v>0</v>
      </c>
      <c r="X28" s="423">
        <f t="shared" si="33"/>
        <v>0</v>
      </c>
      <c r="Y28" s="715"/>
      <c r="AA28" s="421">
        <f t="shared" ref="AA28:AV28" si="34">SUM(AA8:AA27)</f>
        <v>0</v>
      </c>
      <c r="AB28" s="422">
        <f t="shared" si="34"/>
        <v>0</v>
      </c>
      <c r="AC28" s="421">
        <f t="shared" si="34"/>
        <v>0</v>
      </c>
      <c r="AD28" s="422">
        <f t="shared" si="34"/>
        <v>0</v>
      </c>
      <c r="AE28" s="421">
        <f t="shared" si="34"/>
        <v>0</v>
      </c>
      <c r="AF28" s="422">
        <f t="shared" si="34"/>
        <v>0</v>
      </c>
      <c r="AG28" s="421">
        <f t="shared" si="34"/>
        <v>0</v>
      </c>
      <c r="AH28" s="422">
        <f t="shared" si="34"/>
        <v>0</v>
      </c>
      <c r="AI28" s="421">
        <f t="shared" si="34"/>
        <v>0</v>
      </c>
      <c r="AJ28" s="422">
        <f t="shared" si="34"/>
        <v>0</v>
      </c>
      <c r="AK28" s="421">
        <f t="shared" si="34"/>
        <v>0</v>
      </c>
      <c r="AL28" s="422">
        <f t="shared" si="34"/>
        <v>0</v>
      </c>
      <c r="AM28" s="421">
        <f t="shared" si="34"/>
        <v>0</v>
      </c>
      <c r="AN28" s="534">
        <f t="shared" si="34"/>
        <v>0</v>
      </c>
      <c r="AO28" s="421">
        <f t="shared" si="34"/>
        <v>0</v>
      </c>
      <c r="AP28" s="534">
        <f t="shared" si="34"/>
        <v>0</v>
      </c>
      <c r="AQ28" s="421">
        <f t="shared" si="34"/>
        <v>0</v>
      </c>
      <c r="AR28" s="534">
        <f t="shared" si="34"/>
        <v>0</v>
      </c>
      <c r="AS28" s="421">
        <f t="shared" si="34"/>
        <v>0</v>
      </c>
      <c r="AT28" s="529">
        <f t="shared" si="34"/>
        <v>0</v>
      </c>
      <c r="AU28" s="421">
        <f t="shared" si="34"/>
        <v>0</v>
      </c>
      <c r="AV28" s="423">
        <f t="shared" si="34"/>
        <v>0</v>
      </c>
      <c r="AW28" s="715"/>
    </row>
    <row r="29" spans="1:49" ht="17.25" customHeight="1" x14ac:dyDescent="0.2">
      <c r="A29" s="18" t="str">
        <f>'t1'!$A$27</f>
        <v>(a) personale a tempo indeterminato al quale viene applicato un contratto di lavoro di tipo privatistico (es.:tipografico,chimico,edile,metalmeccanico,portierato, ecc.)</v>
      </c>
      <c r="B29" s="2"/>
      <c r="C29" s="3"/>
      <c r="D29" s="3"/>
      <c r="E29" s="3"/>
      <c r="F29" s="3"/>
      <c r="G29" s="3"/>
      <c r="I29" s="3"/>
      <c r="Y29" s="715"/>
      <c r="AA29" s="3"/>
      <c r="AB29" s="3"/>
      <c r="AC29" s="3"/>
      <c r="AD29" s="3"/>
      <c r="AE29" s="3"/>
      <c r="AG29" s="3"/>
      <c r="AW29" s="715"/>
    </row>
    <row r="30" spans="1:49" x14ac:dyDescent="0.2">
      <c r="A30" s="18"/>
    </row>
  </sheetData>
  <sheetProtection algorithmName="SHA-512" hashValue="5J2ZzYwwpUKl7NIIisvogs3GpZzWRQf5QGakZqd42rRmR/kHcd+kQa9kMzO/EJkdYa83Rd2iSkt/kcWi8LsMiA==" saltValue="dRUMdCbvreRiKN4pVg4rRw==" spinCount="100000" sheet="1" formatColumns="0" selectLockedCells="1"/>
  <mergeCells count="43">
    <mergeCell ref="A1:AV1"/>
    <mergeCell ref="AK4:AL4"/>
    <mergeCell ref="AM4:AN4"/>
    <mergeCell ref="AO4:AP4"/>
    <mergeCell ref="AS4:AT4"/>
    <mergeCell ref="AQ4:AR4"/>
    <mergeCell ref="S4:T4"/>
    <mergeCell ref="AI4:AJ4"/>
    <mergeCell ref="AE2:AF2"/>
    <mergeCell ref="AG2:AH2"/>
    <mergeCell ref="AE4:AF4"/>
    <mergeCell ref="AG4:AH4"/>
    <mergeCell ref="I4:J4"/>
    <mergeCell ref="Q4:R4"/>
    <mergeCell ref="U4:V4"/>
    <mergeCell ref="AG5:AH5"/>
    <mergeCell ref="M4:N4"/>
    <mergeCell ref="O5:P5"/>
    <mergeCell ref="Q5:R5"/>
    <mergeCell ref="AS5:AT5"/>
    <mergeCell ref="AA5:AB5"/>
    <mergeCell ref="AC5:AD5"/>
    <mergeCell ref="AE5:AF5"/>
    <mergeCell ref="AQ5:AR5"/>
    <mergeCell ref="S5:T5"/>
    <mergeCell ref="AM5:AN5"/>
    <mergeCell ref="AO5:AP5"/>
    <mergeCell ref="AI5:AJ5"/>
    <mergeCell ref="AK5:AL5"/>
    <mergeCell ref="AC4:AD4"/>
    <mergeCell ref="U5:V5"/>
    <mergeCell ref="M5:N5"/>
    <mergeCell ref="O4:P4"/>
    <mergeCell ref="I5:J5"/>
    <mergeCell ref="K4:L4"/>
    <mergeCell ref="I2:J2"/>
    <mergeCell ref="K5:L5"/>
    <mergeCell ref="C5:D5"/>
    <mergeCell ref="E5:F5"/>
    <mergeCell ref="E4:F4"/>
    <mergeCell ref="G2:H2"/>
    <mergeCell ref="G4:H4"/>
    <mergeCell ref="G5:H5"/>
  </mergeCells>
  <phoneticPr fontId="30" type="noConversion"/>
  <conditionalFormatting sqref="A8:X27 AA8:AV27">
    <cfRule type="expression" dxfId="37" priority="5" stopIfTrue="1">
      <formula>$Y8&gt;0</formula>
    </cfRule>
  </conditionalFormatting>
  <printOptions horizontalCentered="1" verticalCentered="1"/>
  <pageMargins left="0" right="0" top="0.19685039370078741" bottom="0.15748031496062992" header="0.15748031496062992" footer="0.19685039370078741"/>
  <pageSetup paperSize="9" scale="7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oglio19"/>
  <dimension ref="A1:AQ30"/>
  <sheetViews>
    <sheetView showGridLines="0" zoomScaleNormal="100" workbookViewId="0">
      <pane xSplit="2" ySplit="5" topLeftCell="AA6" activePane="bottomRight" state="frozen"/>
      <selection activeCell="C4" sqref="C4:C6"/>
      <selection pane="topRight" activeCell="C4" sqref="C4:C6"/>
      <selection pane="bottomLeft" activeCell="C4" sqref="C4:C6"/>
      <selection pane="bottomRight" activeCell="AA6" sqref="AA6"/>
    </sheetView>
  </sheetViews>
  <sheetFormatPr defaultColWidth="9.28515625" defaultRowHeight="10.199999999999999" x14ac:dyDescent="0.2"/>
  <cols>
    <col min="1" max="1" width="39.7109375" style="3" customWidth="1"/>
    <col min="2" max="2" width="11" style="2" customWidth="1"/>
    <col min="3" max="3" width="14.7109375" style="3" hidden="1" customWidth="1"/>
    <col min="4" max="11" width="16.7109375" style="3" hidden="1" customWidth="1"/>
    <col min="12" max="12" width="6.140625" style="3" hidden="1" customWidth="1"/>
    <col min="13" max="13" width="10" style="825" hidden="1" customWidth="1"/>
    <col min="14" max="26" width="9.28515625" style="3" hidden="1" customWidth="1"/>
    <col min="27" max="27" width="14.7109375" style="3" customWidth="1"/>
    <col min="28" max="35" width="16.7109375" style="3" customWidth="1"/>
    <col min="36" max="36" width="6.140625" style="3" hidden="1" customWidth="1"/>
    <col min="37" max="37" width="0" style="3" hidden="1" customWidth="1"/>
    <col min="38" max="38" width="9.28515625" style="3"/>
    <col min="39" max="42" width="0" style="3" hidden="1" customWidth="1"/>
    <col min="43" max="43" width="39.7109375" style="3" customWidth="1"/>
    <col min="44" max="16384" width="9.28515625" style="3"/>
  </cols>
  <sheetData>
    <row r="1" spans="1:43" ht="33" customHeight="1" x14ac:dyDescent="0.2">
      <c r="A1" s="1463" t="str">
        <f>'t1'!A1</f>
        <v>ENTI PUBBLICI NON ECONOMICI - anno 2023</v>
      </c>
      <c r="B1" s="1463"/>
      <c r="C1" s="1463"/>
      <c r="D1" s="1463"/>
      <c r="E1" s="1463"/>
      <c r="F1" s="1463"/>
      <c r="G1" s="1463"/>
      <c r="H1" s="1463"/>
      <c r="I1" s="1463"/>
      <c r="J1" s="1463"/>
      <c r="K1" s="1463"/>
      <c r="L1" s="1463"/>
      <c r="M1" s="1463"/>
      <c r="N1" s="1463"/>
      <c r="O1" s="1463"/>
      <c r="P1" s="1463"/>
      <c r="Q1" s="1463"/>
      <c r="R1" s="1463"/>
      <c r="S1" s="1463"/>
      <c r="T1" s="1463"/>
      <c r="U1" s="1463"/>
      <c r="V1" s="1463"/>
      <c r="W1" s="1463"/>
      <c r="X1" s="1463"/>
      <c r="Y1" s="1463"/>
      <c r="Z1" s="1463"/>
      <c r="AA1" s="1463"/>
      <c r="AB1" s="1463"/>
      <c r="AC1" s="1463"/>
      <c r="AD1" s="1463"/>
      <c r="AE1" s="1463"/>
      <c r="AF1" s="1463"/>
      <c r="AG1" s="1463"/>
      <c r="AH1" s="1463"/>
      <c r="AI1" s="1463"/>
      <c r="AJ1" s="286"/>
      <c r="AL1"/>
    </row>
    <row r="2" spans="1:43" ht="27" customHeight="1" thickBot="1" x14ac:dyDescent="0.25">
      <c r="A2" s="5"/>
      <c r="I2" s="1499"/>
      <c r="J2" s="1499"/>
      <c r="K2" s="1499"/>
      <c r="L2" s="1547"/>
      <c r="AG2" s="1499"/>
      <c r="AH2" s="1499"/>
      <c r="AI2" s="1499"/>
      <c r="AJ2" s="1547"/>
    </row>
    <row r="3" spans="1:43" ht="10.8" thickBot="1" x14ac:dyDescent="0.25">
      <c r="A3" s="7"/>
      <c r="B3" s="8"/>
      <c r="C3" s="1305"/>
      <c r="D3" s="9"/>
      <c r="E3" s="9"/>
      <c r="F3" s="9"/>
      <c r="G3" s="9"/>
      <c r="H3" s="9"/>
      <c r="I3" s="9"/>
      <c r="J3" s="109"/>
      <c r="K3" s="109"/>
      <c r="L3" s="608"/>
      <c r="AA3" s="1305" t="s">
        <v>240</v>
      </c>
      <c r="AB3" s="9"/>
      <c r="AC3" s="9"/>
      <c r="AD3" s="9"/>
      <c r="AE3" s="9"/>
      <c r="AF3" s="9"/>
      <c r="AG3" s="9"/>
      <c r="AH3" s="109"/>
      <c r="AI3" s="109"/>
      <c r="AJ3" s="608"/>
      <c r="AL3"/>
      <c r="AM3"/>
      <c r="AN3"/>
      <c r="AO3"/>
      <c r="AP3"/>
      <c r="AQ3" s="855"/>
    </row>
    <row r="4" spans="1:43" ht="52.8" customHeight="1" thickTop="1" x14ac:dyDescent="0.2">
      <c r="A4" s="19" t="s">
        <v>130</v>
      </c>
      <c r="B4" s="110" t="s">
        <v>57</v>
      </c>
      <c r="C4" s="111" t="s">
        <v>167</v>
      </c>
      <c r="D4" s="111" t="s">
        <v>131</v>
      </c>
      <c r="E4" s="829" t="s">
        <v>725</v>
      </c>
      <c r="F4" s="111" t="s">
        <v>1011</v>
      </c>
      <c r="G4" s="111" t="s">
        <v>1113</v>
      </c>
      <c r="H4" s="111" t="s">
        <v>95</v>
      </c>
      <c r="I4" s="111" t="s">
        <v>166</v>
      </c>
      <c r="J4" s="111" t="s">
        <v>96</v>
      </c>
      <c r="K4" s="559" t="s">
        <v>60</v>
      </c>
      <c r="AA4" s="111" t="s">
        <v>167</v>
      </c>
      <c r="AB4" s="111" t="s">
        <v>131</v>
      </c>
      <c r="AC4" s="829" t="s">
        <v>725</v>
      </c>
      <c r="AD4" s="111" t="s">
        <v>1011</v>
      </c>
      <c r="AE4" s="111" t="s">
        <v>1113</v>
      </c>
      <c r="AF4" s="111" t="s">
        <v>95</v>
      </c>
      <c r="AG4" s="111" t="s">
        <v>166</v>
      </c>
      <c r="AH4" s="111" t="s">
        <v>96</v>
      </c>
      <c r="AI4" s="559" t="s">
        <v>60</v>
      </c>
      <c r="AL4" s="856" t="s">
        <v>845</v>
      </c>
      <c r="AM4" s="856"/>
      <c r="AN4" s="856"/>
      <c r="AO4" s="856"/>
      <c r="AP4" s="856"/>
      <c r="AQ4" s="1548" t="s">
        <v>846</v>
      </c>
    </row>
    <row r="5" spans="1:43" s="247" customFormat="1" ht="12.6" thickBot="1" x14ac:dyDescent="0.3">
      <c r="A5" s="717" t="s">
        <v>609</v>
      </c>
      <c r="B5" s="268"/>
      <c r="C5" s="269" t="s">
        <v>392</v>
      </c>
      <c r="D5" s="269" t="s">
        <v>388</v>
      </c>
      <c r="E5" s="269" t="s">
        <v>726</v>
      </c>
      <c r="F5" s="269" t="s">
        <v>1010</v>
      </c>
      <c r="G5" s="269" t="s">
        <v>1114</v>
      </c>
      <c r="H5" s="269" t="s">
        <v>389</v>
      </c>
      <c r="I5" s="269" t="s">
        <v>390</v>
      </c>
      <c r="J5" s="269" t="s">
        <v>391</v>
      </c>
      <c r="K5" s="270"/>
      <c r="M5" s="827"/>
      <c r="AA5" s="269" t="s">
        <v>392</v>
      </c>
      <c r="AB5" s="269" t="s">
        <v>388</v>
      </c>
      <c r="AC5" s="269" t="s">
        <v>726</v>
      </c>
      <c r="AD5" s="269" t="s">
        <v>1010</v>
      </c>
      <c r="AE5" s="269" t="s">
        <v>1114</v>
      </c>
      <c r="AF5" s="269" t="s">
        <v>389</v>
      </c>
      <c r="AG5" s="269" t="s">
        <v>390</v>
      </c>
      <c r="AH5" s="269" t="s">
        <v>391</v>
      </c>
      <c r="AI5" s="270"/>
      <c r="AL5" s="857">
        <f>COUNTIF($AQ$6:$AQ$25,"Incongruenza")</f>
        <v>0</v>
      </c>
      <c r="AM5" s="858" t="s">
        <v>94</v>
      </c>
      <c r="AN5" s="858"/>
      <c r="AO5" s="859" t="s">
        <v>847</v>
      </c>
      <c r="AP5" s="859" t="s">
        <v>848</v>
      </c>
      <c r="AQ5" s="1549"/>
    </row>
    <row r="6" spans="1:43" ht="12.75" customHeight="1" thickTop="1" thickBot="1" x14ac:dyDescent="0.25">
      <c r="A6" s="17" t="str">
        <f>'t1'!A6</f>
        <v>DIRETTORE GENERALE</v>
      </c>
      <c r="B6" s="208" t="str">
        <f>'t1'!B6</f>
        <v>0D0097</v>
      </c>
      <c r="C6" s="188">
        <f>ROUND(AA6,2)</f>
        <v>0</v>
      </c>
      <c r="D6" s="725">
        <f>ROUND(AB6,0)</f>
        <v>0</v>
      </c>
      <c r="E6" s="725">
        <f t="shared" ref="E6:G20" si="0">ROUND(AC6,0)</f>
        <v>0</v>
      </c>
      <c r="F6" s="725">
        <f t="shared" si="0"/>
        <v>0</v>
      </c>
      <c r="G6" s="725">
        <f t="shared" si="0"/>
        <v>0</v>
      </c>
      <c r="H6" s="725">
        <f t="shared" ref="H6:H20" si="1">ROUND(AF6,0)</f>
        <v>0</v>
      </c>
      <c r="I6" s="725">
        <f t="shared" ref="I6:I20" si="2">ROUND(AG6,0)</f>
        <v>0</v>
      </c>
      <c r="J6" s="738">
        <f t="shared" ref="J6:J20" si="3">ROUND(AH6,0)</f>
        <v>0</v>
      </c>
      <c r="K6" s="388">
        <f>(D6+E6+F6+G6+H6+I6)-J6</f>
        <v>0</v>
      </c>
      <c r="L6" s="714">
        <f>'t1'!M6</f>
        <v>0</v>
      </c>
      <c r="M6" s="826" t="s">
        <v>445</v>
      </c>
      <c r="AA6" s="188"/>
      <c r="AB6" s="186"/>
      <c r="AC6" s="186"/>
      <c r="AD6" s="186"/>
      <c r="AE6" s="186"/>
      <c r="AF6" s="186"/>
      <c r="AG6" s="186"/>
      <c r="AH6" s="187"/>
      <c r="AI6" s="388">
        <f>(AB6+AC6+AD6+AE6+AF6+AG6)-AH6</f>
        <v>0</v>
      </c>
      <c r="AJ6" s="714">
        <f>'t1'!AK6</f>
        <v>0</v>
      </c>
      <c r="AL6"/>
      <c r="AM6" s="3" t="s">
        <v>850</v>
      </c>
      <c r="AN6" s="3" t="s">
        <v>849</v>
      </c>
      <c r="AO6" s="860" t="str">
        <f t="shared" ref="AO6:AO25" si="4">IF($AM6="no",(IF($AC6&gt;0,"Incongruenza","OK")),(IF($AC6=0,"OK","ok")))</f>
        <v>OK</v>
      </c>
      <c r="AP6" s="861" t="str">
        <f t="shared" ref="AP6:AP25" si="5">IF($AN6="no",(IF($AD6&gt;0,"Incongruenza","OK")),(IF($AD6=0,"OK","ok")))</f>
        <v>OK</v>
      </c>
      <c r="AQ6" s="862" t="str">
        <f t="shared" ref="AQ6:AQ25" si="6">IF(AND($AM6="no",$AN6="no",$AD6&gt;0),"Sono stati inseriti importi RIA e/o Progressioni",IF(AND($AM6="no",$AN6="no",$AC6&gt;0)," ",IF(OR($AO6="Incongruenza",$AP6="Incongruenza"),"Incongruenza"," ")))</f>
        <v xml:space="preserve"> </v>
      </c>
    </row>
    <row r="7" spans="1:43" ht="12" customHeight="1" thickBot="1" x14ac:dyDescent="0.25">
      <c r="A7" s="135" t="str">
        <f>'t1'!A7</f>
        <v>DIRIGENTE I FASCIA</v>
      </c>
      <c r="B7" s="201" t="str">
        <f>'t1'!B7</f>
        <v>0D0077</v>
      </c>
      <c r="C7" s="188">
        <f t="shared" ref="C7:C20" si="7">ROUND(AA7,2)</f>
        <v>0</v>
      </c>
      <c r="D7" s="725">
        <f t="shared" ref="D7:D20" si="8">ROUND(AB7,0)</f>
        <v>0</v>
      </c>
      <c r="E7" s="725">
        <f t="shared" si="0"/>
        <v>0</v>
      </c>
      <c r="F7" s="725">
        <f t="shared" si="0"/>
        <v>0</v>
      </c>
      <c r="G7" s="725">
        <f t="shared" si="0"/>
        <v>0</v>
      </c>
      <c r="H7" s="725">
        <f t="shared" si="1"/>
        <v>0</v>
      </c>
      <c r="I7" s="725">
        <f t="shared" si="2"/>
        <v>0</v>
      </c>
      <c r="J7" s="738">
        <f t="shared" si="3"/>
        <v>0</v>
      </c>
      <c r="K7" s="388">
        <f t="shared" ref="K7:K25" si="9">(D7+E7+F7+G7+H7+I7)-J7</f>
        <v>0</v>
      </c>
      <c r="L7" s="714">
        <f>'t1'!M7</f>
        <v>0</v>
      </c>
      <c r="M7" s="826" t="s">
        <v>489</v>
      </c>
      <c r="AA7" s="188"/>
      <c r="AB7" s="186"/>
      <c r="AC7" s="186"/>
      <c r="AD7" s="186"/>
      <c r="AE7" s="186"/>
      <c r="AF7" s="186"/>
      <c r="AG7" s="186"/>
      <c r="AH7" s="187"/>
      <c r="AI7" s="388">
        <f>(AB7+AC7+AD7+AE7+AF7+AG7)-AH7</f>
        <v>0</v>
      </c>
      <c r="AJ7" s="388">
        <f>(AC7+AD7+AE7+AF7+AG7+AH7)-AI7</f>
        <v>0</v>
      </c>
      <c r="AK7" s="388">
        <f>(AD7+AE7+AF7+AG7+AH7+AI7)-AJ7</f>
        <v>0</v>
      </c>
      <c r="AM7" s="3" t="s">
        <v>850</v>
      </c>
      <c r="AN7" s="3" t="s">
        <v>849</v>
      </c>
      <c r="AO7" s="860" t="str">
        <f t="shared" si="4"/>
        <v>OK</v>
      </c>
      <c r="AP7" s="861" t="str">
        <f t="shared" si="5"/>
        <v>OK</v>
      </c>
      <c r="AQ7" s="862" t="str">
        <f t="shared" si="6"/>
        <v xml:space="preserve"> </v>
      </c>
    </row>
    <row r="8" spans="1:43" ht="12" customHeight="1" thickBot="1" x14ac:dyDescent="0.25">
      <c r="A8" s="135" t="str">
        <f>'t1'!A8</f>
        <v>DIRIGENTE I FASCIA A TEMPO DETERM.</v>
      </c>
      <c r="B8" s="201" t="str">
        <f>'t1'!B8</f>
        <v>0D0078</v>
      </c>
      <c r="C8" s="188">
        <f t="shared" si="7"/>
        <v>0</v>
      </c>
      <c r="D8" s="725">
        <f t="shared" si="8"/>
        <v>0</v>
      </c>
      <c r="E8" s="725">
        <f t="shared" si="0"/>
        <v>0</v>
      </c>
      <c r="F8" s="725">
        <f t="shared" si="0"/>
        <v>0</v>
      </c>
      <c r="G8" s="725">
        <f t="shared" si="0"/>
        <v>0</v>
      </c>
      <c r="H8" s="725">
        <f t="shared" si="1"/>
        <v>0</v>
      </c>
      <c r="I8" s="725">
        <f t="shared" si="2"/>
        <v>0</v>
      </c>
      <c r="J8" s="738">
        <f t="shared" si="3"/>
        <v>0</v>
      </c>
      <c r="K8" s="388">
        <f t="shared" si="9"/>
        <v>0</v>
      </c>
      <c r="L8" s="714">
        <f>'t1'!M8</f>
        <v>0</v>
      </c>
      <c r="M8" s="826" t="s">
        <v>489</v>
      </c>
      <c r="AA8" s="188"/>
      <c r="AB8" s="186"/>
      <c r="AC8" s="186"/>
      <c r="AD8" s="186"/>
      <c r="AE8" s="186"/>
      <c r="AF8" s="186"/>
      <c r="AG8" s="186"/>
      <c r="AH8" s="187"/>
      <c r="AI8" s="388">
        <f t="shared" ref="AI8:AI25" si="10">(AB8+AC8+AD8+AE8+AF8+AG8)-AH8</f>
        <v>0</v>
      </c>
      <c r="AJ8" s="714">
        <f>'t1'!AK8</f>
        <v>0</v>
      </c>
      <c r="AM8" s="3" t="s">
        <v>850</v>
      </c>
      <c r="AN8" s="3" t="s">
        <v>849</v>
      </c>
      <c r="AO8" s="860" t="str">
        <f t="shared" si="4"/>
        <v>OK</v>
      </c>
      <c r="AP8" s="861" t="str">
        <f t="shared" si="5"/>
        <v>OK</v>
      </c>
      <c r="AQ8" s="862" t="str">
        <f t="shared" si="6"/>
        <v xml:space="preserve"> </v>
      </c>
    </row>
    <row r="9" spans="1:43" ht="12" customHeight="1" thickBot="1" x14ac:dyDescent="0.25">
      <c r="A9" s="135" t="str">
        <f>'t1'!A9</f>
        <v>DIRIGENTE II FASCIA</v>
      </c>
      <c r="B9" s="201" t="str">
        <f>'t1'!B9</f>
        <v>0D0079</v>
      </c>
      <c r="C9" s="188">
        <f t="shared" si="7"/>
        <v>0</v>
      </c>
      <c r="D9" s="725">
        <f t="shared" si="8"/>
        <v>0</v>
      </c>
      <c r="E9" s="725">
        <f t="shared" si="0"/>
        <v>0</v>
      </c>
      <c r="F9" s="725">
        <f t="shared" si="0"/>
        <v>0</v>
      </c>
      <c r="G9" s="725">
        <f t="shared" si="0"/>
        <v>0</v>
      </c>
      <c r="H9" s="725">
        <f t="shared" si="1"/>
        <v>0</v>
      </c>
      <c r="I9" s="725">
        <f t="shared" si="2"/>
        <v>0</v>
      </c>
      <c r="J9" s="738">
        <f t="shared" si="3"/>
        <v>0</v>
      </c>
      <c r="K9" s="388">
        <f t="shared" si="9"/>
        <v>0</v>
      </c>
      <c r="L9" s="714">
        <f>'t1'!M9</f>
        <v>0</v>
      </c>
      <c r="M9" s="826" t="s">
        <v>472</v>
      </c>
      <c r="AA9" s="188"/>
      <c r="AB9" s="1304"/>
      <c r="AC9" s="186"/>
      <c r="AD9" s="186"/>
      <c r="AE9" s="186"/>
      <c r="AF9" s="186"/>
      <c r="AG9" s="186"/>
      <c r="AH9" s="187"/>
      <c r="AI9" s="388">
        <f t="shared" si="10"/>
        <v>0</v>
      </c>
      <c r="AJ9" s="714">
        <f>'t1'!AK9</f>
        <v>0</v>
      </c>
      <c r="AM9" s="3" t="s">
        <v>850</v>
      </c>
      <c r="AN9" s="3" t="s">
        <v>849</v>
      </c>
      <c r="AO9" s="860" t="str">
        <f t="shared" si="4"/>
        <v>OK</v>
      </c>
      <c r="AP9" s="861" t="str">
        <f t="shared" si="5"/>
        <v>OK</v>
      </c>
      <c r="AQ9" s="862" t="str">
        <f t="shared" si="6"/>
        <v xml:space="preserve"> </v>
      </c>
    </row>
    <row r="10" spans="1:43" ht="12" customHeight="1" thickBot="1" x14ac:dyDescent="0.25">
      <c r="A10" s="135" t="str">
        <f>'t1'!A10</f>
        <v>DIRIGENTE II FASCIA A TEMPO DETERM.</v>
      </c>
      <c r="B10" s="201" t="str">
        <f>'t1'!B10</f>
        <v>0D0080</v>
      </c>
      <c r="C10" s="188">
        <f t="shared" si="7"/>
        <v>0</v>
      </c>
      <c r="D10" s="725">
        <f t="shared" si="8"/>
        <v>0</v>
      </c>
      <c r="E10" s="725">
        <f t="shared" si="0"/>
        <v>0</v>
      </c>
      <c r="F10" s="725">
        <f t="shared" si="0"/>
        <v>0</v>
      </c>
      <c r="G10" s="725">
        <f t="shared" si="0"/>
        <v>0</v>
      </c>
      <c r="H10" s="725">
        <f t="shared" si="1"/>
        <v>0</v>
      </c>
      <c r="I10" s="725">
        <f t="shared" si="2"/>
        <v>0</v>
      </c>
      <c r="J10" s="738">
        <f t="shared" si="3"/>
        <v>0</v>
      </c>
      <c r="K10" s="388">
        <f t="shared" si="9"/>
        <v>0</v>
      </c>
      <c r="L10" s="714">
        <f>'t1'!M10</f>
        <v>0</v>
      </c>
      <c r="M10" s="826" t="s">
        <v>472</v>
      </c>
      <c r="AA10" s="188"/>
      <c r="AB10" s="186"/>
      <c r="AC10" s="186"/>
      <c r="AD10" s="186"/>
      <c r="AE10" s="186"/>
      <c r="AF10" s="186"/>
      <c r="AG10" s="186"/>
      <c r="AH10" s="187"/>
      <c r="AI10" s="388">
        <f t="shared" si="10"/>
        <v>0</v>
      </c>
      <c r="AJ10" s="714">
        <f>'t1'!AK10</f>
        <v>0</v>
      </c>
      <c r="AM10" s="3" t="s">
        <v>850</v>
      </c>
      <c r="AN10" s="3" t="s">
        <v>849</v>
      </c>
      <c r="AO10" s="860" t="str">
        <f t="shared" si="4"/>
        <v>OK</v>
      </c>
      <c r="AP10" s="861" t="str">
        <f t="shared" si="5"/>
        <v>OK</v>
      </c>
      <c r="AQ10" s="862" t="str">
        <f t="shared" si="6"/>
        <v xml:space="preserve"> </v>
      </c>
    </row>
    <row r="11" spans="1:43" ht="12" customHeight="1" thickBot="1" x14ac:dyDescent="0.25">
      <c r="A11" s="135" t="str">
        <f>'t1'!A11</f>
        <v>MEDICO II FASCIA T.P.</v>
      </c>
      <c r="B11" s="201" t="str">
        <f>'t1'!B11</f>
        <v>0D0584</v>
      </c>
      <c r="C11" s="188">
        <f t="shared" si="7"/>
        <v>0</v>
      </c>
      <c r="D11" s="725">
        <f t="shared" si="8"/>
        <v>0</v>
      </c>
      <c r="E11" s="725">
        <f t="shared" si="0"/>
        <v>0</v>
      </c>
      <c r="F11" s="725">
        <f t="shared" si="0"/>
        <v>0</v>
      </c>
      <c r="G11" s="725">
        <f t="shared" si="0"/>
        <v>0</v>
      </c>
      <c r="H11" s="725">
        <f t="shared" si="1"/>
        <v>0</v>
      </c>
      <c r="I11" s="725">
        <f t="shared" si="2"/>
        <v>0</v>
      </c>
      <c r="J11" s="738">
        <f t="shared" si="3"/>
        <v>0</v>
      </c>
      <c r="K11" s="388">
        <f t="shared" si="9"/>
        <v>0</v>
      </c>
      <c r="L11" s="714">
        <f>'t1'!M11</f>
        <v>0</v>
      </c>
      <c r="M11" s="826" t="s">
        <v>473</v>
      </c>
      <c r="AA11" s="188"/>
      <c r="AB11" s="186"/>
      <c r="AC11" s="186"/>
      <c r="AD11" s="186"/>
      <c r="AE11" s="186"/>
      <c r="AF11" s="186"/>
      <c r="AG11" s="186"/>
      <c r="AH11" s="187"/>
      <c r="AI11" s="388">
        <f t="shared" si="10"/>
        <v>0</v>
      </c>
      <c r="AJ11" s="714">
        <f>'t1'!AK11</f>
        <v>0</v>
      </c>
      <c r="AM11" s="3" t="s">
        <v>850</v>
      </c>
      <c r="AN11" s="3" t="s">
        <v>849</v>
      </c>
      <c r="AO11" s="860" t="str">
        <f t="shared" si="4"/>
        <v>OK</v>
      </c>
      <c r="AP11" s="861" t="str">
        <f t="shared" si="5"/>
        <v>OK</v>
      </c>
      <c r="AQ11" s="862" t="str">
        <f t="shared" si="6"/>
        <v xml:space="preserve"> </v>
      </c>
    </row>
    <row r="12" spans="1:43" ht="12" customHeight="1" thickBot="1" x14ac:dyDescent="0.25">
      <c r="A12" s="135" t="str">
        <f>'t1'!A12</f>
        <v>MEDICO I FASCIA T.P.</v>
      </c>
      <c r="B12" s="201" t="str">
        <f>'t1'!B12</f>
        <v>0D0585</v>
      </c>
      <c r="C12" s="188">
        <f t="shared" si="7"/>
        <v>0</v>
      </c>
      <c r="D12" s="725">
        <f t="shared" si="8"/>
        <v>0</v>
      </c>
      <c r="E12" s="725">
        <f t="shared" si="0"/>
        <v>0</v>
      </c>
      <c r="F12" s="725">
        <f t="shared" si="0"/>
        <v>0</v>
      </c>
      <c r="G12" s="725">
        <f t="shared" si="0"/>
        <v>0</v>
      </c>
      <c r="H12" s="725">
        <f t="shared" si="1"/>
        <v>0</v>
      </c>
      <c r="I12" s="725">
        <f t="shared" si="2"/>
        <v>0</v>
      </c>
      <c r="J12" s="738">
        <f t="shared" si="3"/>
        <v>0</v>
      </c>
      <c r="K12" s="388">
        <f t="shared" si="9"/>
        <v>0</v>
      </c>
      <c r="L12" s="714">
        <f>'t1'!M12</f>
        <v>0</v>
      </c>
      <c r="M12" s="826" t="s">
        <v>473</v>
      </c>
      <c r="AA12" s="188"/>
      <c r="AB12" s="186"/>
      <c r="AC12" s="186"/>
      <c r="AD12" s="186"/>
      <c r="AE12" s="186"/>
      <c r="AF12" s="186"/>
      <c r="AG12" s="186"/>
      <c r="AH12" s="187"/>
      <c r="AI12" s="388">
        <f t="shared" si="10"/>
        <v>0</v>
      </c>
      <c r="AJ12" s="714">
        <f>'t1'!AK12</f>
        <v>0</v>
      </c>
      <c r="AM12" s="3" t="s">
        <v>850</v>
      </c>
      <c r="AN12" s="3" t="s">
        <v>849</v>
      </c>
      <c r="AO12" s="860" t="str">
        <f t="shared" si="4"/>
        <v>OK</v>
      </c>
      <c r="AP12" s="861" t="str">
        <f t="shared" si="5"/>
        <v>OK</v>
      </c>
      <c r="AQ12" s="862" t="str">
        <f t="shared" si="6"/>
        <v xml:space="preserve"> </v>
      </c>
    </row>
    <row r="13" spans="1:43" ht="12" customHeight="1" thickBot="1" x14ac:dyDescent="0.25">
      <c r="A13" s="135" t="str">
        <f>'t1'!A13</f>
        <v>MEDICO II FASCIA T.D.</v>
      </c>
      <c r="B13" s="201" t="str">
        <f>'t1'!B13</f>
        <v>0D0586</v>
      </c>
      <c r="C13" s="188">
        <f t="shared" si="7"/>
        <v>0</v>
      </c>
      <c r="D13" s="725">
        <f t="shared" si="8"/>
        <v>0</v>
      </c>
      <c r="E13" s="725">
        <f t="shared" si="0"/>
        <v>0</v>
      </c>
      <c r="F13" s="725">
        <f t="shared" si="0"/>
        <v>0</v>
      </c>
      <c r="G13" s="725">
        <f t="shared" si="0"/>
        <v>0</v>
      </c>
      <c r="H13" s="725">
        <f t="shared" si="1"/>
        <v>0</v>
      </c>
      <c r="I13" s="725">
        <f t="shared" si="2"/>
        <v>0</v>
      </c>
      <c r="J13" s="738">
        <f t="shared" si="3"/>
        <v>0</v>
      </c>
      <c r="K13" s="388">
        <f t="shared" si="9"/>
        <v>0</v>
      </c>
      <c r="L13" s="714">
        <f>'t1'!M13</f>
        <v>0</v>
      </c>
      <c r="M13" s="826" t="s">
        <v>473</v>
      </c>
      <c r="AA13" s="188"/>
      <c r="AB13" s="186"/>
      <c r="AC13" s="186"/>
      <c r="AD13" s="186"/>
      <c r="AE13" s="186"/>
      <c r="AF13" s="186"/>
      <c r="AG13" s="186"/>
      <c r="AH13" s="187"/>
      <c r="AI13" s="388">
        <f t="shared" si="10"/>
        <v>0</v>
      </c>
      <c r="AJ13" s="714">
        <f>'t1'!AK13</f>
        <v>0</v>
      </c>
      <c r="AM13" s="3" t="s">
        <v>850</v>
      </c>
      <c r="AN13" s="3" t="s">
        <v>849</v>
      </c>
      <c r="AO13" s="860" t="str">
        <f t="shared" si="4"/>
        <v>OK</v>
      </c>
      <c r="AP13" s="861" t="str">
        <f t="shared" si="5"/>
        <v>OK</v>
      </c>
      <c r="AQ13" s="862" t="str">
        <f t="shared" si="6"/>
        <v xml:space="preserve"> </v>
      </c>
    </row>
    <row r="14" spans="1:43" ht="12" customHeight="1" thickBot="1" x14ac:dyDescent="0.25">
      <c r="A14" s="135" t="str">
        <f>'t1'!A14</f>
        <v>MEDICO I FASCIA T.D.</v>
      </c>
      <c r="B14" s="201" t="str">
        <f>'t1'!B14</f>
        <v>0D0496</v>
      </c>
      <c r="C14" s="188">
        <f t="shared" si="7"/>
        <v>0</v>
      </c>
      <c r="D14" s="725">
        <f t="shared" si="8"/>
        <v>0</v>
      </c>
      <c r="E14" s="725">
        <f t="shared" si="0"/>
        <v>0</v>
      </c>
      <c r="F14" s="725">
        <f t="shared" si="0"/>
        <v>0</v>
      </c>
      <c r="G14" s="725">
        <f t="shared" si="0"/>
        <v>0</v>
      </c>
      <c r="H14" s="725">
        <f t="shared" si="1"/>
        <v>0</v>
      </c>
      <c r="I14" s="725">
        <f t="shared" si="2"/>
        <v>0</v>
      </c>
      <c r="J14" s="738">
        <f t="shared" si="3"/>
        <v>0</v>
      </c>
      <c r="K14" s="388">
        <f t="shared" si="9"/>
        <v>0</v>
      </c>
      <c r="L14" s="714">
        <f>'t1'!M14</f>
        <v>0</v>
      </c>
      <c r="M14" s="826" t="s">
        <v>473</v>
      </c>
      <c r="AA14" s="188"/>
      <c r="AB14" s="186"/>
      <c r="AC14" s="186"/>
      <c r="AD14" s="186"/>
      <c r="AE14" s="186"/>
      <c r="AF14" s="186"/>
      <c r="AG14" s="186"/>
      <c r="AH14" s="187"/>
      <c r="AI14" s="388">
        <f t="shared" si="10"/>
        <v>0</v>
      </c>
      <c r="AJ14" s="714">
        <f>'t1'!AK14</f>
        <v>0</v>
      </c>
      <c r="AM14" s="3" t="s">
        <v>850</v>
      </c>
      <c r="AN14" s="3" t="s">
        <v>849</v>
      </c>
      <c r="AO14" s="860" t="str">
        <f t="shared" si="4"/>
        <v>OK</v>
      </c>
      <c r="AP14" s="861" t="str">
        <f t="shared" si="5"/>
        <v>OK</v>
      </c>
      <c r="AQ14" s="862" t="str">
        <f t="shared" si="6"/>
        <v xml:space="preserve"> </v>
      </c>
    </row>
    <row r="15" spans="1:43" ht="12" customHeight="1" thickBot="1" x14ac:dyDescent="0.25">
      <c r="A15" s="135" t="str">
        <f>'t1'!A15</f>
        <v>PROF.STI LEGALI LIV. II DIFF.</v>
      </c>
      <c r="B15" s="201" t="str">
        <f>'t1'!B15</f>
        <v>0D0473</v>
      </c>
      <c r="C15" s="188">
        <f t="shared" si="7"/>
        <v>0</v>
      </c>
      <c r="D15" s="725">
        <f t="shared" si="8"/>
        <v>0</v>
      </c>
      <c r="E15" s="725">
        <f t="shared" si="0"/>
        <v>0</v>
      </c>
      <c r="F15" s="725">
        <f t="shared" si="0"/>
        <v>0</v>
      </c>
      <c r="G15" s="725">
        <f t="shared" si="0"/>
        <v>0</v>
      </c>
      <c r="H15" s="725">
        <f t="shared" si="1"/>
        <v>0</v>
      </c>
      <c r="I15" s="725">
        <f t="shared" si="2"/>
        <v>0</v>
      </c>
      <c r="J15" s="738">
        <f t="shared" si="3"/>
        <v>0</v>
      </c>
      <c r="K15" s="388">
        <f t="shared" si="9"/>
        <v>0</v>
      </c>
      <c r="L15" s="714">
        <f>'t1'!M15</f>
        <v>0</v>
      </c>
      <c r="M15" s="826" t="s">
        <v>474</v>
      </c>
      <c r="AA15" s="188"/>
      <c r="AB15" s="186"/>
      <c r="AC15" s="186"/>
      <c r="AD15" s="186"/>
      <c r="AE15" s="186"/>
      <c r="AF15" s="186"/>
      <c r="AG15" s="186"/>
      <c r="AH15" s="187"/>
      <c r="AI15" s="388">
        <f t="shared" si="10"/>
        <v>0</v>
      </c>
      <c r="AJ15" s="714">
        <f>'t1'!AK15</f>
        <v>0</v>
      </c>
      <c r="AM15" s="3" t="s">
        <v>850</v>
      </c>
      <c r="AN15" s="3" t="s">
        <v>849</v>
      </c>
      <c r="AO15" s="860" t="str">
        <f t="shared" si="4"/>
        <v>OK</v>
      </c>
      <c r="AP15" s="861" t="str">
        <f t="shared" si="5"/>
        <v>OK</v>
      </c>
      <c r="AQ15" s="862" t="str">
        <f t="shared" si="6"/>
        <v xml:space="preserve"> </v>
      </c>
    </row>
    <row r="16" spans="1:43" ht="12" customHeight="1" thickBot="1" x14ac:dyDescent="0.25">
      <c r="A16" s="135" t="str">
        <f>'t1'!A16</f>
        <v>PROF.STI LEGALI LIV. I DIFF.</v>
      </c>
      <c r="B16" s="201" t="str">
        <f>'t1'!B16</f>
        <v>0D0472</v>
      </c>
      <c r="C16" s="188">
        <f t="shared" si="7"/>
        <v>0</v>
      </c>
      <c r="D16" s="725">
        <f t="shared" si="8"/>
        <v>0</v>
      </c>
      <c r="E16" s="725">
        <f t="shared" si="0"/>
        <v>0</v>
      </c>
      <c r="F16" s="725">
        <f t="shared" si="0"/>
        <v>0</v>
      </c>
      <c r="G16" s="725">
        <f t="shared" si="0"/>
        <v>0</v>
      </c>
      <c r="H16" s="725">
        <f t="shared" si="1"/>
        <v>0</v>
      </c>
      <c r="I16" s="725">
        <f t="shared" si="2"/>
        <v>0</v>
      </c>
      <c r="J16" s="738">
        <f t="shared" si="3"/>
        <v>0</v>
      </c>
      <c r="K16" s="388">
        <f t="shared" si="9"/>
        <v>0</v>
      </c>
      <c r="L16" s="714">
        <f>'t1'!M16</f>
        <v>0</v>
      </c>
      <c r="M16" s="826" t="s">
        <v>474</v>
      </c>
      <c r="AA16" s="188"/>
      <c r="AB16" s="186"/>
      <c r="AC16" s="186"/>
      <c r="AD16" s="186"/>
      <c r="AE16" s="186"/>
      <c r="AF16" s="186"/>
      <c r="AG16" s="186"/>
      <c r="AH16" s="187"/>
      <c r="AI16" s="388">
        <f t="shared" si="10"/>
        <v>0</v>
      </c>
      <c r="AJ16" s="714">
        <f>'t1'!AK16</f>
        <v>0</v>
      </c>
      <c r="AM16" s="3" t="s">
        <v>850</v>
      </c>
      <c r="AN16" s="3" t="s">
        <v>849</v>
      </c>
      <c r="AO16" s="860" t="str">
        <f t="shared" si="4"/>
        <v>OK</v>
      </c>
      <c r="AP16" s="861" t="str">
        <f t="shared" si="5"/>
        <v>OK</v>
      </c>
      <c r="AQ16" s="862" t="str">
        <f t="shared" si="6"/>
        <v xml:space="preserve"> </v>
      </c>
    </row>
    <row r="17" spans="1:43" ht="12" customHeight="1" thickBot="1" x14ac:dyDescent="0.25">
      <c r="A17" s="135" t="str">
        <f>'t1'!A17</f>
        <v>PROF.STI LEGALI</v>
      </c>
      <c r="B17" s="201" t="str">
        <f>'t1'!B17</f>
        <v>0D0084</v>
      </c>
      <c r="C17" s="188">
        <f t="shared" si="7"/>
        <v>0</v>
      </c>
      <c r="D17" s="725">
        <f t="shared" si="8"/>
        <v>0</v>
      </c>
      <c r="E17" s="725">
        <f t="shared" si="0"/>
        <v>0</v>
      </c>
      <c r="F17" s="725">
        <f t="shared" si="0"/>
        <v>0</v>
      </c>
      <c r="G17" s="725">
        <f t="shared" si="0"/>
        <v>0</v>
      </c>
      <c r="H17" s="725">
        <f t="shared" si="1"/>
        <v>0</v>
      </c>
      <c r="I17" s="725">
        <f t="shared" si="2"/>
        <v>0</v>
      </c>
      <c r="J17" s="738">
        <f t="shared" si="3"/>
        <v>0</v>
      </c>
      <c r="K17" s="388">
        <f t="shared" si="9"/>
        <v>0</v>
      </c>
      <c r="L17" s="714">
        <f>'t1'!M17</f>
        <v>0</v>
      </c>
      <c r="M17" s="826" t="s">
        <v>474</v>
      </c>
      <c r="AA17" s="188"/>
      <c r="AB17" s="186"/>
      <c r="AC17" s="186"/>
      <c r="AD17" s="186"/>
      <c r="AE17" s="186"/>
      <c r="AF17" s="186"/>
      <c r="AG17" s="186"/>
      <c r="AH17" s="187"/>
      <c r="AI17" s="388">
        <f t="shared" si="10"/>
        <v>0</v>
      </c>
      <c r="AJ17" s="714">
        <f>'t1'!AK17</f>
        <v>0</v>
      </c>
      <c r="AM17" s="3" t="s">
        <v>850</v>
      </c>
      <c r="AN17" s="3" t="s">
        <v>849</v>
      </c>
      <c r="AO17" s="860" t="str">
        <f t="shared" si="4"/>
        <v>OK</v>
      </c>
      <c r="AP17" s="861" t="str">
        <f t="shared" si="5"/>
        <v>OK</v>
      </c>
      <c r="AQ17" s="862" t="str">
        <f t="shared" si="6"/>
        <v xml:space="preserve"> </v>
      </c>
    </row>
    <row r="18" spans="1:43" ht="12" customHeight="1" thickBot="1" x14ac:dyDescent="0.25">
      <c r="A18" s="135" t="str">
        <f>'t1'!A18</f>
        <v>ALTRI PROF.STI LIV. II DIFF.</v>
      </c>
      <c r="B18" s="201" t="str">
        <f>'t1'!B18</f>
        <v>0D0481</v>
      </c>
      <c r="C18" s="188">
        <f t="shared" si="7"/>
        <v>0</v>
      </c>
      <c r="D18" s="725">
        <f t="shared" si="8"/>
        <v>0</v>
      </c>
      <c r="E18" s="725">
        <f t="shared" si="0"/>
        <v>0</v>
      </c>
      <c r="F18" s="725">
        <f t="shared" si="0"/>
        <v>0</v>
      </c>
      <c r="G18" s="725">
        <f t="shared" si="0"/>
        <v>0</v>
      </c>
      <c r="H18" s="725">
        <f t="shared" si="1"/>
        <v>0</v>
      </c>
      <c r="I18" s="725">
        <f t="shared" si="2"/>
        <v>0</v>
      </c>
      <c r="J18" s="738">
        <f t="shared" si="3"/>
        <v>0</v>
      </c>
      <c r="K18" s="388">
        <f t="shared" si="9"/>
        <v>0</v>
      </c>
      <c r="L18" s="714">
        <f>'t1'!M18</f>
        <v>0</v>
      </c>
      <c r="M18" s="826" t="s">
        <v>474</v>
      </c>
      <c r="AA18" s="188"/>
      <c r="AB18" s="186"/>
      <c r="AC18" s="186"/>
      <c r="AD18" s="186"/>
      <c r="AE18" s="186"/>
      <c r="AF18" s="186"/>
      <c r="AG18" s="186"/>
      <c r="AH18" s="187"/>
      <c r="AI18" s="388">
        <f t="shared" si="10"/>
        <v>0</v>
      </c>
      <c r="AJ18" s="714">
        <f>'t1'!AK18</f>
        <v>0</v>
      </c>
      <c r="AM18" s="3" t="s">
        <v>850</v>
      </c>
      <c r="AN18" s="3" t="s">
        <v>849</v>
      </c>
      <c r="AO18" s="860" t="str">
        <f t="shared" si="4"/>
        <v>OK</v>
      </c>
      <c r="AP18" s="861" t="str">
        <f t="shared" si="5"/>
        <v>OK</v>
      </c>
      <c r="AQ18" s="862" t="str">
        <f t="shared" si="6"/>
        <v xml:space="preserve"> </v>
      </c>
    </row>
    <row r="19" spans="1:43" ht="12" customHeight="1" thickBot="1" x14ac:dyDescent="0.25">
      <c r="A19" s="135" t="str">
        <f>'t1'!A19</f>
        <v>ALTRI PROF.STI LIV. I DIFF.</v>
      </c>
      <c r="B19" s="201" t="str">
        <f>'t1'!B19</f>
        <v>0D0480</v>
      </c>
      <c r="C19" s="188">
        <f t="shared" si="7"/>
        <v>0</v>
      </c>
      <c r="D19" s="725">
        <f t="shared" si="8"/>
        <v>0</v>
      </c>
      <c r="E19" s="725">
        <f t="shared" si="0"/>
        <v>0</v>
      </c>
      <c r="F19" s="725">
        <f t="shared" si="0"/>
        <v>0</v>
      </c>
      <c r="G19" s="725">
        <f t="shared" si="0"/>
        <v>0</v>
      </c>
      <c r="H19" s="725">
        <f t="shared" si="1"/>
        <v>0</v>
      </c>
      <c r="I19" s="725">
        <f t="shared" si="2"/>
        <v>0</v>
      </c>
      <c r="J19" s="738">
        <f t="shared" si="3"/>
        <v>0</v>
      </c>
      <c r="K19" s="388">
        <f t="shared" si="9"/>
        <v>0</v>
      </c>
      <c r="L19" s="714">
        <f>'t1'!M19</f>
        <v>0</v>
      </c>
      <c r="M19" s="826" t="s">
        <v>474</v>
      </c>
      <c r="AA19" s="188"/>
      <c r="AB19" s="186"/>
      <c r="AC19" s="186"/>
      <c r="AD19" s="186"/>
      <c r="AE19" s="186"/>
      <c r="AF19" s="186"/>
      <c r="AG19" s="186"/>
      <c r="AH19" s="187"/>
      <c r="AI19" s="388">
        <f t="shared" si="10"/>
        <v>0</v>
      </c>
      <c r="AJ19" s="714">
        <f>'t1'!AK19</f>
        <v>0</v>
      </c>
      <c r="AM19" s="3" t="s">
        <v>850</v>
      </c>
      <c r="AN19" s="3" t="s">
        <v>849</v>
      </c>
      <c r="AO19" s="860" t="str">
        <f t="shared" si="4"/>
        <v>OK</v>
      </c>
      <c r="AP19" s="861" t="str">
        <f t="shared" si="5"/>
        <v>OK</v>
      </c>
      <c r="AQ19" s="862" t="str">
        <f t="shared" si="6"/>
        <v xml:space="preserve"> </v>
      </c>
    </row>
    <row r="20" spans="1:43" ht="12" customHeight="1" thickBot="1" x14ac:dyDescent="0.25">
      <c r="A20" s="135" t="str">
        <f>'t1'!A20</f>
        <v>ALTRI PROF.STI</v>
      </c>
      <c r="B20" s="201" t="str">
        <f>'t1'!B20</f>
        <v>0D0075</v>
      </c>
      <c r="C20" s="188">
        <f t="shared" si="7"/>
        <v>0</v>
      </c>
      <c r="D20" s="725">
        <f t="shared" si="8"/>
        <v>0</v>
      </c>
      <c r="E20" s="725">
        <f t="shared" si="0"/>
        <v>0</v>
      </c>
      <c r="F20" s="725">
        <f t="shared" si="0"/>
        <v>0</v>
      </c>
      <c r="G20" s="725">
        <f t="shared" si="0"/>
        <v>0</v>
      </c>
      <c r="H20" s="725">
        <f t="shared" si="1"/>
        <v>0</v>
      </c>
      <c r="I20" s="725">
        <f t="shared" si="2"/>
        <v>0</v>
      </c>
      <c r="J20" s="738">
        <f t="shared" si="3"/>
        <v>0</v>
      </c>
      <c r="K20" s="388">
        <f t="shared" si="9"/>
        <v>0</v>
      </c>
      <c r="L20" s="714">
        <f>'t1'!M20</f>
        <v>0</v>
      </c>
      <c r="M20" s="826" t="s">
        <v>474</v>
      </c>
      <c r="AA20" s="188"/>
      <c r="AB20" s="186"/>
      <c r="AC20" s="186"/>
      <c r="AD20" s="186"/>
      <c r="AE20" s="186"/>
      <c r="AF20" s="186"/>
      <c r="AG20" s="186"/>
      <c r="AH20" s="187"/>
      <c r="AI20" s="388">
        <f t="shared" si="10"/>
        <v>0</v>
      </c>
      <c r="AJ20" s="714">
        <f>'t1'!AK20</f>
        <v>0</v>
      </c>
      <c r="AM20" s="3" t="s">
        <v>850</v>
      </c>
      <c r="AN20" s="3" t="s">
        <v>849</v>
      </c>
      <c r="AO20" s="860" t="str">
        <f t="shared" si="4"/>
        <v>OK</v>
      </c>
      <c r="AP20" s="861" t="str">
        <f t="shared" si="5"/>
        <v>OK</v>
      </c>
      <c r="AQ20" s="862" t="str">
        <f t="shared" si="6"/>
        <v xml:space="preserve"> </v>
      </c>
    </row>
    <row r="21" spans="1:43" ht="12" customHeight="1" thickBot="1" x14ac:dyDescent="0.25">
      <c r="A21" s="135" t="str">
        <f>'t1'!A21</f>
        <v>ELEVATE PROFESSIONALITA'</v>
      </c>
      <c r="B21" s="201" t="str">
        <f>'t1'!B21</f>
        <v>0EP981</v>
      </c>
      <c r="C21" s="188">
        <f>ROUND(AA21,2)</f>
        <v>0</v>
      </c>
      <c r="D21" s="725">
        <f t="shared" ref="D21:E25" si="11">ROUND(AB21,0)</f>
        <v>0</v>
      </c>
      <c r="E21" s="725">
        <f t="shared" si="11"/>
        <v>0</v>
      </c>
      <c r="F21" s="725">
        <f t="shared" ref="F21:G25" si="12">ROUND(AD21,0)</f>
        <v>0</v>
      </c>
      <c r="G21" s="725">
        <f t="shared" si="12"/>
        <v>0</v>
      </c>
      <c r="H21" s="725">
        <f t="shared" ref="H21:J25" si="13">ROUND(AF21,0)</f>
        <v>0</v>
      </c>
      <c r="I21" s="725">
        <f t="shared" si="13"/>
        <v>0</v>
      </c>
      <c r="J21" s="738">
        <f t="shared" si="13"/>
        <v>0</v>
      </c>
      <c r="K21" s="388">
        <f t="shared" si="9"/>
        <v>0</v>
      </c>
      <c r="L21" s="714">
        <f>'t1'!M21</f>
        <v>0</v>
      </c>
      <c r="M21" s="826" t="s">
        <v>474</v>
      </c>
      <c r="AA21" s="188"/>
      <c r="AB21" s="186"/>
      <c r="AC21" s="186"/>
      <c r="AD21" s="186"/>
      <c r="AE21" s="186"/>
      <c r="AF21" s="186"/>
      <c r="AG21" s="186"/>
      <c r="AH21" s="187"/>
      <c r="AI21" s="388">
        <f t="shared" si="10"/>
        <v>0</v>
      </c>
      <c r="AJ21" s="714">
        <f>'t1'!AK21</f>
        <v>0</v>
      </c>
      <c r="AM21" s="3" t="s">
        <v>850</v>
      </c>
      <c r="AN21" s="3" t="s">
        <v>849</v>
      </c>
      <c r="AO21" s="860" t="str">
        <f t="shared" si="4"/>
        <v>OK</v>
      </c>
      <c r="AP21" s="861" t="str">
        <f t="shared" si="5"/>
        <v>OK</v>
      </c>
      <c r="AQ21" s="862" t="str">
        <f t="shared" si="6"/>
        <v xml:space="preserve"> </v>
      </c>
    </row>
    <row r="22" spans="1:43" ht="12" customHeight="1" thickBot="1" x14ac:dyDescent="0.25">
      <c r="A22" s="135" t="str">
        <f>'t1'!A22</f>
        <v>FUNZIONARI</v>
      </c>
      <c r="B22" s="201" t="str">
        <f>'t1'!B22</f>
        <v>0FZ000</v>
      </c>
      <c r="C22" s="188">
        <f>ROUND(AA22,2)</f>
        <v>0</v>
      </c>
      <c r="D22" s="725">
        <f t="shared" si="11"/>
        <v>0</v>
      </c>
      <c r="E22" s="725">
        <f t="shared" si="11"/>
        <v>0</v>
      </c>
      <c r="F22" s="725">
        <f t="shared" si="12"/>
        <v>0</v>
      </c>
      <c r="G22" s="725">
        <f t="shared" si="12"/>
        <v>0</v>
      </c>
      <c r="H22" s="725">
        <f t="shared" si="13"/>
        <v>0</v>
      </c>
      <c r="I22" s="725">
        <f t="shared" si="13"/>
        <v>0</v>
      </c>
      <c r="J22" s="738">
        <f t="shared" si="13"/>
        <v>0</v>
      </c>
      <c r="K22" s="388">
        <f t="shared" si="9"/>
        <v>0</v>
      </c>
      <c r="L22" s="714">
        <f>'t1'!M22</f>
        <v>0</v>
      </c>
      <c r="M22" s="826" t="s">
        <v>474</v>
      </c>
      <c r="AA22" s="188"/>
      <c r="AB22" s="186"/>
      <c r="AC22" s="186"/>
      <c r="AD22" s="186"/>
      <c r="AE22" s="186"/>
      <c r="AF22" s="186"/>
      <c r="AG22" s="186"/>
      <c r="AH22" s="187"/>
      <c r="AI22" s="388">
        <f t="shared" si="10"/>
        <v>0</v>
      </c>
      <c r="AJ22" s="714">
        <f>'t1'!AK22</f>
        <v>0</v>
      </c>
      <c r="AM22" s="3" t="s">
        <v>850</v>
      </c>
      <c r="AN22" s="3" t="s">
        <v>849</v>
      </c>
      <c r="AO22" s="860" t="str">
        <f t="shared" si="4"/>
        <v>OK</v>
      </c>
      <c r="AP22" s="861" t="str">
        <f t="shared" si="5"/>
        <v>OK</v>
      </c>
      <c r="AQ22" s="862" t="str">
        <f t="shared" si="6"/>
        <v xml:space="preserve"> </v>
      </c>
    </row>
    <row r="23" spans="1:43" ht="12" customHeight="1" thickBot="1" x14ac:dyDescent="0.25">
      <c r="A23" s="135" t="str">
        <f>'t1'!A23</f>
        <v>ASSISTENTI</v>
      </c>
      <c r="B23" s="201" t="str">
        <f>'t1'!B23</f>
        <v>0AS000</v>
      </c>
      <c r="C23" s="188">
        <f>ROUND(AA23,2)</f>
        <v>0</v>
      </c>
      <c r="D23" s="725">
        <f t="shared" si="11"/>
        <v>0</v>
      </c>
      <c r="E23" s="725">
        <f t="shared" si="11"/>
        <v>0</v>
      </c>
      <c r="F23" s="725">
        <f t="shared" si="12"/>
        <v>0</v>
      </c>
      <c r="G23" s="725">
        <f t="shared" si="12"/>
        <v>0</v>
      </c>
      <c r="H23" s="725">
        <f t="shared" si="13"/>
        <v>0</v>
      </c>
      <c r="I23" s="725">
        <f t="shared" si="13"/>
        <v>0</v>
      </c>
      <c r="J23" s="738">
        <f t="shared" si="13"/>
        <v>0</v>
      </c>
      <c r="K23" s="388">
        <f t="shared" si="9"/>
        <v>0</v>
      </c>
      <c r="L23" s="714">
        <f>'t1'!M23</f>
        <v>0</v>
      </c>
      <c r="M23" s="826" t="s">
        <v>474</v>
      </c>
      <c r="AA23" s="188"/>
      <c r="AB23" s="186"/>
      <c r="AC23" s="186"/>
      <c r="AD23" s="186"/>
      <c r="AE23" s="186"/>
      <c r="AF23" s="186"/>
      <c r="AG23" s="186"/>
      <c r="AH23" s="187"/>
      <c r="AI23" s="388">
        <f t="shared" si="10"/>
        <v>0</v>
      </c>
      <c r="AJ23" s="714">
        <f>'t1'!AK23</f>
        <v>0</v>
      </c>
      <c r="AM23" s="3" t="s">
        <v>850</v>
      </c>
      <c r="AN23" s="3" t="s">
        <v>849</v>
      </c>
      <c r="AO23" s="860" t="str">
        <f t="shared" si="4"/>
        <v>OK</v>
      </c>
      <c r="AP23" s="861" t="str">
        <f t="shared" si="5"/>
        <v>OK</v>
      </c>
      <c r="AQ23" s="862" t="str">
        <f t="shared" si="6"/>
        <v xml:space="preserve"> </v>
      </c>
    </row>
    <row r="24" spans="1:43" ht="12" customHeight="1" thickBot="1" x14ac:dyDescent="0.25">
      <c r="A24" s="135" t="str">
        <f>'t1'!A24</f>
        <v>OPERATORI</v>
      </c>
      <c r="B24" s="201" t="str">
        <f>'t1'!B24</f>
        <v>0OP000</v>
      </c>
      <c r="C24" s="188">
        <f>ROUND(AA24,2)</f>
        <v>0</v>
      </c>
      <c r="D24" s="725">
        <f t="shared" si="11"/>
        <v>0</v>
      </c>
      <c r="E24" s="725">
        <f t="shared" si="11"/>
        <v>0</v>
      </c>
      <c r="F24" s="725">
        <f t="shared" si="12"/>
        <v>0</v>
      </c>
      <c r="G24" s="725">
        <f t="shared" si="12"/>
        <v>0</v>
      </c>
      <c r="H24" s="725">
        <f t="shared" si="13"/>
        <v>0</v>
      </c>
      <c r="I24" s="725">
        <f t="shared" si="13"/>
        <v>0</v>
      </c>
      <c r="J24" s="738">
        <f t="shared" si="13"/>
        <v>0</v>
      </c>
      <c r="K24" s="388">
        <f t="shared" si="9"/>
        <v>0</v>
      </c>
      <c r="L24" s="714">
        <f>'t1'!M24</f>
        <v>0</v>
      </c>
      <c r="M24" s="826" t="s">
        <v>474</v>
      </c>
      <c r="AA24" s="188"/>
      <c r="AB24" s="186"/>
      <c r="AC24" s="186"/>
      <c r="AD24" s="186"/>
      <c r="AE24" s="186"/>
      <c r="AF24" s="186"/>
      <c r="AG24" s="186"/>
      <c r="AH24" s="187"/>
      <c r="AI24" s="388">
        <f t="shared" si="10"/>
        <v>0</v>
      </c>
      <c r="AJ24" s="714">
        <f>'t1'!AK24</f>
        <v>0</v>
      </c>
      <c r="AM24" s="3" t="s">
        <v>850</v>
      </c>
      <c r="AN24" s="3" t="s">
        <v>849</v>
      </c>
      <c r="AO24" s="860" t="str">
        <f t="shared" si="4"/>
        <v>OK</v>
      </c>
      <c r="AP24" s="861" t="str">
        <f t="shared" si="5"/>
        <v>OK</v>
      </c>
      <c r="AQ24" s="862" t="str">
        <f t="shared" si="6"/>
        <v xml:space="preserve"> </v>
      </c>
    </row>
    <row r="25" spans="1:43" ht="12" customHeight="1" thickBot="1" x14ac:dyDescent="0.25">
      <c r="A25" s="135" t="str">
        <f>'t1'!A25</f>
        <v>CONTRATTISTI</v>
      </c>
      <c r="B25" s="201" t="str">
        <f>'t1'!B25</f>
        <v>000061</v>
      </c>
      <c r="C25" s="188">
        <f>ROUND(AA25,2)</f>
        <v>0</v>
      </c>
      <c r="D25" s="725">
        <f t="shared" si="11"/>
        <v>0</v>
      </c>
      <c r="E25" s="725">
        <f t="shared" si="11"/>
        <v>0</v>
      </c>
      <c r="F25" s="725">
        <f t="shared" si="12"/>
        <v>0</v>
      </c>
      <c r="G25" s="725">
        <f t="shared" si="12"/>
        <v>0</v>
      </c>
      <c r="H25" s="725">
        <f t="shared" si="13"/>
        <v>0</v>
      </c>
      <c r="I25" s="725">
        <f t="shared" si="13"/>
        <v>0</v>
      </c>
      <c r="J25" s="738">
        <f t="shared" si="13"/>
        <v>0</v>
      </c>
      <c r="K25" s="388">
        <f t="shared" si="9"/>
        <v>0</v>
      </c>
      <c r="L25" s="714">
        <f>'t1'!M25</f>
        <v>0</v>
      </c>
      <c r="M25" s="826" t="s">
        <v>474</v>
      </c>
      <c r="AA25" s="188"/>
      <c r="AB25" s="186"/>
      <c r="AC25" s="186"/>
      <c r="AD25" s="186"/>
      <c r="AE25" s="186"/>
      <c r="AF25" s="186"/>
      <c r="AG25" s="186"/>
      <c r="AH25" s="187"/>
      <c r="AI25" s="388">
        <f t="shared" si="10"/>
        <v>0</v>
      </c>
      <c r="AJ25" s="714">
        <f>'t1'!AK25</f>
        <v>0</v>
      </c>
      <c r="AM25" s="3" t="s">
        <v>850</v>
      </c>
      <c r="AN25" s="3" t="s">
        <v>849</v>
      </c>
      <c r="AO25" s="860" t="str">
        <f t="shared" si="4"/>
        <v>OK</v>
      </c>
      <c r="AP25" s="861" t="str">
        <f t="shared" si="5"/>
        <v>OK</v>
      </c>
      <c r="AQ25" s="862" t="str">
        <f t="shared" si="6"/>
        <v xml:space="preserve"> </v>
      </c>
    </row>
    <row r="26" spans="1:43" ht="12" customHeight="1" thickTop="1" thickBot="1" x14ac:dyDescent="0.25">
      <c r="A26" s="107" t="s">
        <v>60</v>
      </c>
      <c r="B26" s="108"/>
      <c r="C26" s="451">
        <f t="shared" ref="C26:K26" si="14">SUM(C6:C25)</f>
        <v>0</v>
      </c>
      <c r="D26" s="425">
        <f t="shared" si="14"/>
        <v>0</v>
      </c>
      <c r="E26" s="425">
        <f t="shared" si="14"/>
        <v>0</v>
      </c>
      <c r="F26" s="425">
        <f t="shared" si="14"/>
        <v>0</v>
      </c>
      <c r="G26" s="425">
        <f t="shared" si="14"/>
        <v>0</v>
      </c>
      <c r="H26" s="425">
        <f t="shared" si="14"/>
        <v>0</v>
      </c>
      <c r="I26" s="425">
        <f t="shared" si="14"/>
        <v>0</v>
      </c>
      <c r="J26" s="425">
        <f t="shared" si="14"/>
        <v>0</v>
      </c>
      <c r="K26" s="425">
        <f t="shared" si="14"/>
        <v>0</v>
      </c>
      <c r="L26" s="608"/>
      <c r="AA26" s="451">
        <f t="shared" ref="AA26:AI26" si="15">SUM(AA6:AA25)</f>
        <v>0</v>
      </c>
      <c r="AB26" s="425">
        <f t="shared" si="15"/>
        <v>0</v>
      </c>
      <c r="AC26" s="425">
        <f t="shared" si="15"/>
        <v>0</v>
      </c>
      <c r="AD26" s="425">
        <f t="shared" si="15"/>
        <v>0</v>
      </c>
      <c r="AE26" s="425">
        <f t="shared" si="15"/>
        <v>0</v>
      </c>
      <c r="AF26" s="425">
        <f t="shared" si="15"/>
        <v>0</v>
      </c>
      <c r="AG26" s="425">
        <f t="shared" si="15"/>
        <v>0</v>
      </c>
      <c r="AH26" s="425">
        <f t="shared" si="15"/>
        <v>0</v>
      </c>
      <c r="AI26" s="426">
        <f t="shared" si="15"/>
        <v>0</v>
      </c>
    </row>
    <row r="27" spans="1:43" s="36" customFormat="1" x14ac:dyDescent="0.2">
      <c r="A27" s="18" t="str">
        <f>'t1'!$A$27</f>
        <v>(a) personale a tempo indeterminato al quale viene applicato un contratto di lavoro di tipo privatistico (es.:tipografico,chimico,edile,metalmeccanico,portierato, ecc.)</v>
      </c>
      <c r="B27" s="2"/>
      <c r="C27" s="3"/>
      <c r="D27" s="3"/>
      <c r="E27" s="3"/>
      <c r="F27" s="3"/>
      <c r="G27" s="3"/>
      <c r="H27" s="3"/>
      <c r="I27" s="3"/>
      <c r="J27" s="3"/>
      <c r="K27" s="3"/>
      <c r="L27" s="3"/>
      <c r="AA27" s="3"/>
      <c r="AB27" s="3"/>
      <c r="AC27" s="3"/>
      <c r="AD27" s="3"/>
      <c r="AE27" s="3"/>
      <c r="AF27" s="3"/>
      <c r="AG27" s="3"/>
      <c r="AH27" s="3"/>
      <c r="AI27" s="3"/>
      <c r="AJ27" s="3"/>
    </row>
    <row r="28" spans="1:43" x14ac:dyDescent="0.2">
      <c r="A28" s="18"/>
    </row>
    <row r="29" spans="1:43" x14ac:dyDescent="0.2">
      <c r="A29" s="3" t="s">
        <v>168</v>
      </c>
    </row>
    <row r="30" spans="1:43" x14ac:dyDescent="0.2">
      <c r="A30" s="3" t="s">
        <v>169</v>
      </c>
    </row>
  </sheetData>
  <sheetProtection algorithmName="SHA-512" hashValue="JUT0kiw9NneZ+HkhNIkqBXg2hSrfTHmMSwrcI5k+i5IkkWKUlMRNmw4vaAAeLhi7OYMlPee47+yz4RjQNIMpOg==" saltValue="xeqI7bM61kt0MVV0O7Ow8Q==" spinCount="100000" sheet="1" formatColumns="0" selectLockedCells="1"/>
  <mergeCells count="4">
    <mergeCell ref="I2:L2"/>
    <mergeCell ref="AG2:AJ2"/>
    <mergeCell ref="A1:AI1"/>
    <mergeCell ref="AQ4:AQ5"/>
  </mergeCells>
  <phoneticPr fontId="30" type="noConversion"/>
  <conditionalFormatting sqref="A6:K25 AA6:AI25 AJ7:AK7">
    <cfRule type="expression" dxfId="36" priority="2" stopIfTrue="1">
      <formula>$L6&gt;0</formula>
    </cfRule>
  </conditionalFormatting>
  <dataValidations count="2">
    <dataValidation type="decimal" allowBlank="1" showInputMessage="1" showErrorMessage="1" sqref="AA6:AA25 C6:C25" xr:uid="{00000000-0002-0000-0F00-000000000000}">
      <formula1>0</formula1>
      <formula2>99999999</formula2>
    </dataValidation>
    <dataValidation type="whole" allowBlank="1" showInputMessage="1" showErrorMessage="1" errorTitle="ERRORE NEL DATO IMMESSO" error="INSERIRE SOLO NUMERI INTERI" sqref="AB6:AH25" xr:uid="{00000000-0002-0000-0F00-000001000000}">
      <formula1>1</formula1>
      <formula2>999999999999</formula2>
    </dataValidation>
  </dataValidations>
  <printOptions horizontalCentered="1" verticalCentered="1"/>
  <pageMargins left="0" right="0" top="0.19685039370078741" bottom="0.15748031496062992" header="0.19685039370078741" footer="0.15748031496062992"/>
  <pageSetup paperSize="9" scale="90" orientation="landscape" horizontalDpi="300" verticalDpi="4294967292"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oglio20"/>
  <dimension ref="A1:CA31"/>
  <sheetViews>
    <sheetView showGridLines="0" zoomScaleNormal="100" workbookViewId="0">
      <pane xSplit="2" ySplit="5" topLeftCell="C6" activePane="bottomRight" state="frozen"/>
      <selection activeCell="C4" sqref="C4:C6"/>
      <selection pane="topRight" activeCell="C4" sqref="C4:C6"/>
      <selection pane="bottomLeft" activeCell="C4" sqref="C4:C6"/>
      <selection pane="bottomRight" activeCell="AA6" sqref="AA6"/>
    </sheetView>
  </sheetViews>
  <sheetFormatPr defaultColWidth="9.28515625" defaultRowHeight="10.199999999999999" x14ac:dyDescent="0.2"/>
  <cols>
    <col min="1" max="1" width="43.28515625" style="3" customWidth="1"/>
    <col min="2" max="2" width="8.7109375" style="2" customWidth="1"/>
    <col min="3" max="3" width="11.42578125" style="3" hidden="1" customWidth="1"/>
    <col min="4" max="4" width="13.140625" style="3" hidden="1" customWidth="1"/>
    <col min="5" max="5" width="11.42578125" style="3" hidden="1" customWidth="1"/>
    <col min="6" max="8" width="13.28515625" style="3" hidden="1" customWidth="1"/>
    <col min="9" max="12" width="11.42578125" style="3" hidden="1" customWidth="1"/>
    <col min="13" max="14" width="12.7109375" style="3" hidden="1" customWidth="1"/>
    <col min="15" max="22" width="11.42578125" style="3" hidden="1" customWidth="1"/>
    <col min="23" max="26" width="9.28515625" style="3" hidden="1" customWidth="1"/>
    <col min="27" max="27" width="11.42578125" style="3" customWidth="1"/>
    <col min="28" max="28" width="13.140625" style="3" customWidth="1"/>
    <col min="29" max="29" width="11.42578125" style="3" customWidth="1"/>
    <col min="30" max="33" width="13.28515625" style="3" customWidth="1"/>
    <col min="34" max="36" width="11.42578125" style="3" customWidth="1"/>
    <col min="37" max="38" width="12.7109375" style="3" customWidth="1"/>
    <col min="39" max="46" width="11.42578125" style="3" customWidth="1"/>
    <col min="47" max="47" width="0" style="3" hidden="1" customWidth="1"/>
    <col min="48" max="78" width="9.28515625" style="3"/>
    <col min="79" max="79" width="9.28515625" style="3" hidden="1" customWidth="1"/>
    <col min="80" max="16384" width="9.28515625" style="3"/>
  </cols>
  <sheetData>
    <row r="1" spans="1:79" ht="36" customHeight="1" x14ac:dyDescent="0.2">
      <c r="A1" s="1463" t="str">
        <f>'t1'!A1</f>
        <v>ENTI PUBBLICI NON ECONOMICI - anno 2023</v>
      </c>
      <c r="B1" s="1463"/>
      <c r="C1" s="1463"/>
      <c r="D1" s="1463"/>
      <c r="E1" s="1463"/>
      <c r="F1" s="1463"/>
      <c r="G1" s="1463"/>
      <c r="H1" s="1463"/>
      <c r="I1" s="1463"/>
      <c r="J1" s="1463"/>
      <c r="K1" s="1463"/>
      <c r="L1" s="1463"/>
      <c r="M1" s="1463"/>
      <c r="N1" s="1463"/>
      <c r="O1" s="1463"/>
      <c r="P1" s="1463"/>
      <c r="Q1" s="1463"/>
      <c r="R1" s="1463"/>
      <c r="S1" s="1463"/>
      <c r="T1" s="1463"/>
      <c r="U1" s="1463"/>
      <c r="V1" s="1463"/>
      <c r="W1" s="1463"/>
      <c r="X1" s="1463"/>
      <c r="Y1" s="1463"/>
      <c r="Z1" s="1463"/>
      <c r="AA1" s="1463"/>
      <c r="AB1" s="1463"/>
      <c r="AC1" s="1463"/>
      <c r="AD1" s="1463"/>
      <c r="AE1" s="1463"/>
      <c r="AF1" s="1463"/>
      <c r="AG1" s="1463"/>
      <c r="AH1" s="1463"/>
      <c r="AI1" s="1463"/>
      <c r="AJ1" s="1463"/>
      <c r="AK1" s="1463"/>
      <c r="AL1" s="1463"/>
      <c r="AM1" s="1463"/>
      <c r="AN1" s="1463"/>
      <c r="AO1" s="1463"/>
      <c r="AP1" s="1463"/>
      <c r="AQ1" s="1463"/>
      <c r="AR1" s="1463"/>
      <c r="AS1" s="1463"/>
      <c r="AT1" s="1463"/>
    </row>
    <row r="2" spans="1:79" ht="27" customHeight="1" thickBot="1" x14ac:dyDescent="0.3">
      <c r="A2" s="5"/>
      <c r="F2" s="96"/>
      <c r="G2" s="96"/>
      <c r="H2" s="96"/>
      <c r="I2" s="96"/>
      <c r="J2" s="96"/>
      <c r="K2" s="96"/>
      <c r="L2" s="96"/>
      <c r="M2" s="96"/>
      <c r="N2" s="96"/>
      <c r="O2" s="96"/>
      <c r="P2" s="96"/>
      <c r="Q2" s="96"/>
      <c r="R2" s="96"/>
      <c r="S2" s="96"/>
      <c r="T2" s="96"/>
      <c r="U2" s="96"/>
      <c r="V2" s="431"/>
      <c r="AD2" s="96"/>
      <c r="AE2" s="96"/>
      <c r="AF2" s="96"/>
      <c r="AG2" s="96"/>
      <c r="AH2" s="96"/>
      <c r="AI2" s="96"/>
      <c r="AJ2" s="96"/>
      <c r="AK2" s="96"/>
      <c r="AL2" s="96"/>
      <c r="AM2" s="96"/>
      <c r="AN2" s="96"/>
      <c r="AO2" s="96"/>
      <c r="AP2" s="96"/>
      <c r="AQ2" s="96"/>
      <c r="AR2" s="96"/>
      <c r="AS2" s="96"/>
      <c r="AT2" s="431"/>
    </row>
    <row r="3" spans="1:79" customFormat="1" ht="13.8" thickBot="1" x14ac:dyDescent="0.25">
      <c r="A3" s="7"/>
      <c r="B3" s="8"/>
      <c r="C3" s="287" t="s">
        <v>240</v>
      </c>
      <c r="D3" s="11"/>
      <c r="E3" s="11"/>
      <c r="F3" s="90"/>
      <c r="G3" s="90"/>
      <c r="H3" s="90"/>
      <c r="I3" s="90"/>
      <c r="J3" s="90"/>
      <c r="K3" s="90"/>
      <c r="L3" s="90"/>
      <c r="M3" s="90"/>
      <c r="N3" s="90"/>
      <c r="O3" s="90"/>
      <c r="P3" s="90"/>
      <c r="Q3" s="90"/>
      <c r="R3" s="90"/>
      <c r="S3" s="90"/>
      <c r="T3" s="90"/>
      <c r="U3" s="90"/>
      <c r="V3" s="94"/>
      <c r="AA3" s="287" t="s">
        <v>240</v>
      </c>
      <c r="AB3" s="11"/>
      <c r="AC3" s="11"/>
      <c r="AD3" s="90"/>
      <c r="AE3" s="90"/>
      <c r="AF3" s="90"/>
      <c r="AG3" s="90"/>
      <c r="AH3" s="90"/>
      <c r="AI3" s="90"/>
      <c r="AJ3" s="90"/>
      <c r="AK3" s="90"/>
      <c r="AL3" s="90"/>
      <c r="AM3" s="90"/>
      <c r="AN3" s="90"/>
      <c r="AO3" s="90"/>
      <c r="AP3" s="90"/>
      <c r="AQ3" s="90"/>
      <c r="AR3" s="90"/>
      <c r="AS3" s="90"/>
      <c r="AT3" s="94"/>
    </row>
    <row r="4" spans="1:79" ht="48" customHeight="1" thickTop="1" x14ac:dyDescent="0.2">
      <c r="A4" s="271" t="s">
        <v>130</v>
      </c>
      <c r="B4" s="272" t="s">
        <v>57</v>
      </c>
      <c r="C4" s="432" t="s">
        <v>447</v>
      </c>
      <c r="D4" s="432" t="s">
        <v>448</v>
      </c>
      <c r="E4" s="432" t="s">
        <v>449</v>
      </c>
      <c r="F4" s="432" t="s">
        <v>450</v>
      </c>
      <c r="G4" s="432" t="s">
        <v>451</v>
      </c>
      <c r="H4" s="752" t="s">
        <v>621</v>
      </c>
      <c r="I4" s="752" t="s">
        <v>529</v>
      </c>
      <c r="J4" s="752" t="s">
        <v>611</v>
      </c>
      <c r="K4" s="433" t="s">
        <v>452</v>
      </c>
      <c r="L4" s="433" t="s">
        <v>453</v>
      </c>
      <c r="M4" s="433" t="s">
        <v>454</v>
      </c>
      <c r="N4" s="433" t="s">
        <v>455</v>
      </c>
      <c r="O4" s="433" t="s">
        <v>456</v>
      </c>
      <c r="P4" s="549" t="s">
        <v>1205</v>
      </c>
      <c r="Q4" s="433" t="s">
        <v>527</v>
      </c>
      <c r="R4" s="433" t="s">
        <v>530</v>
      </c>
      <c r="S4" s="549" t="s">
        <v>285</v>
      </c>
      <c r="T4" s="433" t="s">
        <v>330</v>
      </c>
      <c r="U4" s="549" t="s">
        <v>286</v>
      </c>
      <c r="V4" s="104" t="s">
        <v>141</v>
      </c>
      <c r="AA4" s="432" t="s">
        <v>447</v>
      </c>
      <c r="AB4" s="902" t="s">
        <v>448</v>
      </c>
      <c r="AC4" s="902" t="s">
        <v>449</v>
      </c>
      <c r="AD4" s="902" t="s">
        <v>450</v>
      </c>
      <c r="AE4" s="902" t="s">
        <v>451</v>
      </c>
      <c r="AF4" s="903" t="s">
        <v>621</v>
      </c>
      <c r="AG4" s="903" t="s">
        <v>529</v>
      </c>
      <c r="AH4" s="903" t="s">
        <v>611</v>
      </c>
      <c r="AI4" s="904" t="s">
        <v>452</v>
      </c>
      <c r="AJ4" s="904" t="s">
        <v>453</v>
      </c>
      <c r="AK4" s="904" t="s">
        <v>454</v>
      </c>
      <c r="AL4" s="433" t="s">
        <v>455</v>
      </c>
      <c r="AM4" s="433" t="s">
        <v>456</v>
      </c>
      <c r="AN4" s="549" t="s">
        <v>1205</v>
      </c>
      <c r="AO4" s="433" t="s">
        <v>527</v>
      </c>
      <c r="AP4" s="433" t="s">
        <v>530</v>
      </c>
      <c r="AQ4" s="549" t="s">
        <v>285</v>
      </c>
      <c r="AR4" s="433" t="s">
        <v>330</v>
      </c>
      <c r="AS4" s="549" t="s">
        <v>286</v>
      </c>
      <c r="AT4" s="104" t="s">
        <v>141</v>
      </c>
      <c r="CA4" s="893" t="s">
        <v>936</v>
      </c>
    </row>
    <row r="5" spans="1:79" ht="14.25" customHeight="1" thickBot="1" x14ac:dyDescent="0.25">
      <c r="A5" s="717" t="s">
        <v>609</v>
      </c>
      <c r="B5" s="105"/>
      <c r="C5" s="434" t="s">
        <v>457</v>
      </c>
      <c r="D5" s="434" t="s">
        <v>458</v>
      </c>
      <c r="E5" s="434" t="s">
        <v>459</v>
      </c>
      <c r="F5" s="434" t="s">
        <v>460</v>
      </c>
      <c r="G5" s="434" t="s">
        <v>461</v>
      </c>
      <c r="H5" s="434" t="s">
        <v>620</v>
      </c>
      <c r="I5" s="434" t="s">
        <v>531</v>
      </c>
      <c r="J5" s="434" t="s">
        <v>612</v>
      </c>
      <c r="K5" s="435" t="s">
        <v>462</v>
      </c>
      <c r="L5" s="435" t="s">
        <v>463</v>
      </c>
      <c r="M5" s="435" t="s">
        <v>464</v>
      </c>
      <c r="N5" s="435" t="s">
        <v>465</v>
      </c>
      <c r="O5" s="435" t="s">
        <v>466</v>
      </c>
      <c r="P5" s="435" t="s">
        <v>1204</v>
      </c>
      <c r="Q5" s="435" t="s">
        <v>528</v>
      </c>
      <c r="R5" s="435" t="s">
        <v>532</v>
      </c>
      <c r="S5" s="435" t="s">
        <v>264</v>
      </c>
      <c r="T5" s="435" t="s">
        <v>265</v>
      </c>
      <c r="U5" s="435" t="s">
        <v>266</v>
      </c>
      <c r="V5" s="106" t="s">
        <v>94</v>
      </c>
      <c r="AA5" s="434" t="s">
        <v>457</v>
      </c>
      <c r="AB5" s="905" t="s">
        <v>458</v>
      </c>
      <c r="AC5" s="905" t="s">
        <v>459</v>
      </c>
      <c r="AD5" s="905" t="s">
        <v>460</v>
      </c>
      <c r="AE5" s="905" t="s">
        <v>461</v>
      </c>
      <c r="AF5" s="905" t="s">
        <v>620</v>
      </c>
      <c r="AG5" s="905" t="s">
        <v>531</v>
      </c>
      <c r="AH5" s="905" t="s">
        <v>612</v>
      </c>
      <c r="AI5" s="906" t="s">
        <v>462</v>
      </c>
      <c r="AJ5" s="906" t="s">
        <v>463</v>
      </c>
      <c r="AK5" s="906" t="s">
        <v>464</v>
      </c>
      <c r="AL5" s="435" t="s">
        <v>465</v>
      </c>
      <c r="AM5" s="435" t="s">
        <v>466</v>
      </c>
      <c r="AN5" s="435" t="s">
        <v>1204</v>
      </c>
      <c r="AO5" s="435" t="s">
        <v>528</v>
      </c>
      <c r="AP5" s="435" t="s">
        <v>532</v>
      </c>
      <c r="AQ5" s="435" t="s">
        <v>264</v>
      </c>
      <c r="AR5" s="435" t="s">
        <v>265</v>
      </c>
      <c r="AS5" s="435" t="s">
        <v>266</v>
      </c>
      <c r="AT5" s="106" t="s">
        <v>94</v>
      </c>
    </row>
    <row r="6" spans="1:79" ht="12.75" customHeight="1" thickTop="1" x14ac:dyDescent="0.2">
      <c r="A6" s="17" t="str">
        <f>'t1'!A6</f>
        <v>DIRETTORE GENERALE</v>
      </c>
      <c r="B6" s="208" t="str">
        <f>'t1'!B6</f>
        <v>0D0097</v>
      </c>
      <c r="C6" s="739">
        <f>ROUND(AA6,0)</f>
        <v>0</v>
      </c>
      <c r="D6" s="739">
        <f t="shared" ref="D6:D20" si="0">ROUND(AB6,0)</f>
        <v>0</v>
      </c>
      <c r="E6" s="739">
        <f t="shared" ref="E6:E20" si="1">ROUND(AC6,0)</f>
        <v>0</v>
      </c>
      <c r="F6" s="740">
        <f t="shared" ref="F6:F20" si="2">ROUND(AD6,0)</f>
        <v>0</v>
      </c>
      <c r="G6" s="740">
        <f>ROUND(AE6,0)</f>
        <v>0</v>
      </c>
      <c r="H6" s="740">
        <f>ROUND(AF6,0)</f>
        <v>0</v>
      </c>
      <c r="I6" s="740">
        <f t="shared" ref="I6:I20" si="3">ROUND(AG6,0)</f>
        <v>0</v>
      </c>
      <c r="J6" s="740">
        <f t="shared" ref="J6:J20" si="4">ROUND(AH6,0)</f>
        <v>0</v>
      </c>
      <c r="K6" s="740">
        <f t="shared" ref="K6:K20" si="5">ROUND(AI6,0)</f>
        <v>0</v>
      </c>
      <c r="L6" s="740">
        <f t="shared" ref="L6:L20" si="6">ROUND(AJ6,0)</f>
        <v>0</v>
      </c>
      <c r="M6" s="740">
        <f t="shared" ref="M6:M25" si="7">ROUND(AK6,0)</f>
        <v>0</v>
      </c>
      <c r="N6" s="740">
        <f t="shared" ref="N6:N25" si="8">ROUND(AL6,0)</f>
        <v>0</v>
      </c>
      <c r="O6" s="740">
        <f t="shared" ref="O6:P25" si="9">ROUND(AM6,0)</f>
        <v>0</v>
      </c>
      <c r="P6" s="740">
        <f t="shared" si="9"/>
        <v>0</v>
      </c>
      <c r="Q6" s="740">
        <f t="shared" ref="Q6:Q25" si="10">ROUND(AO6,0)</f>
        <v>0</v>
      </c>
      <c r="R6" s="740">
        <f t="shared" ref="R6:R25" si="11">ROUND(AP6,0)</f>
        <v>0</v>
      </c>
      <c r="S6" s="740">
        <f t="shared" ref="S6:S25" si="12">ROUND(AQ6,0)</f>
        <v>0</v>
      </c>
      <c r="T6" s="740">
        <f t="shared" ref="T6:T25" si="13">ROUND(AR6,0)</f>
        <v>0</v>
      </c>
      <c r="U6" s="740">
        <f t="shared" ref="U6:U25" si="14">ROUND(AS6,0)</f>
        <v>0</v>
      </c>
      <c r="V6" s="428">
        <f t="shared" ref="V6:V25" si="15">SUM(C6:U6)</f>
        <v>0</v>
      </c>
      <c r="W6" s="714">
        <f>'t1'!M6</f>
        <v>0</v>
      </c>
      <c r="AA6" s="189"/>
      <c r="AB6" s="189"/>
      <c r="AC6" s="189"/>
      <c r="AD6" s="190"/>
      <c r="AE6" s="190"/>
      <c r="AF6" s="190"/>
      <c r="AG6" s="190"/>
      <c r="AH6" s="190"/>
      <c r="AI6" s="190"/>
      <c r="AJ6" s="190"/>
      <c r="AK6" s="190"/>
      <c r="AL6" s="190"/>
      <c r="AM6" s="190"/>
      <c r="AN6" s="190"/>
      <c r="AO6" s="190"/>
      <c r="AP6" s="190"/>
      <c r="AQ6" s="190"/>
      <c r="AR6" s="190"/>
      <c r="AS6" s="190"/>
      <c r="AT6" s="428">
        <f t="shared" ref="AT6:AT25" si="16">SUM(AA6:AS6)</f>
        <v>0</v>
      </c>
      <c r="AU6" s="714">
        <f>'t1'!AQ6</f>
        <v>0</v>
      </c>
      <c r="CA6" s="895" t="s">
        <v>445</v>
      </c>
    </row>
    <row r="7" spans="1:79" ht="12.75" customHeight="1" x14ac:dyDescent="0.2">
      <c r="A7" s="135" t="str">
        <f>'t1'!A7</f>
        <v>DIRIGENTE I FASCIA</v>
      </c>
      <c r="B7" s="201" t="str">
        <f>'t1'!B7</f>
        <v>0D0077</v>
      </c>
      <c r="C7" s="739">
        <f t="shared" ref="C7:C20" si="17">ROUND(AA7,0)</f>
        <v>0</v>
      </c>
      <c r="D7" s="739">
        <f>ROUND(AB7,0)</f>
        <v>0</v>
      </c>
      <c r="E7" s="739">
        <f>ROUND(AC7,0)</f>
        <v>0</v>
      </c>
      <c r="F7" s="740">
        <f t="shared" si="2"/>
        <v>0</v>
      </c>
      <c r="G7" s="740">
        <f t="shared" ref="G7:G20" si="18">ROUND(AE7,0)</f>
        <v>0</v>
      </c>
      <c r="H7" s="740">
        <f t="shared" ref="H7:H20" si="19">ROUND(AF7,0)</f>
        <v>0</v>
      </c>
      <c r="I7" s="740">
        <f t="shared" si="3"/>
        <v>0</v>
      </c>
      <c r="J7" s="740">
        <f t="shared" si="4"/>
        <v>0</v>
      </c>
      <c r="K7" s="740">
        <f t="shared" si="5"/>
        <v>0</v>
      </c>
      <c r="L7" s="740">
        <f t="shared" si="6"/>
        <v>0</v>
      </c>
      <c r="M7" s="740">
        <f t="shared" si="7"/>
        <v>0</v>
      </c>
      <c r="N7" s="740">
        <f t="shared" si="8"/>
        <v>0</v>
      </c>
      <c r="O7" s="740">
        <f t="shared" si="9"/>
        <v>0</v>
      </c>
      <c r="P7" s="740">
        <f t="shared" si="9"/>
        <v>0</v>
      </c>
      <c r="Q7" s="740">
        <f t="shared" si="10"/>
        <v>0</v>
      </c>
      <c r="R7" s="740">
        <f t="shared" si="11"/>
        <v>0</v>
      </c>
      <c r="S7" s="740">
        <f t="shared" si="12"/>
        <v>0</v>
      </c>
      <c r="T7" s="740">
        <f t="shared" si="13"/>
        <v>0</v>
      </c>
      <c r="U7" s="740">
        <f t="shared" si="14"/>
        <v>0</v>
      </c>
      <c r="V7" s="428">
        <f t="shared" si="15"/>
        <v>0</v>
      </c>
      <c r="W7" s="714">
        <f>'t1'!M7</f>
        <v>0</v>
      </c>
      <c r="AA7" s="189"/>
      <c r="AB7" s="189"/>
      <c r="AC7" s="189"/>
      <c r="AD7" s="190"/>
      <c r="AE7" s="190"/>
      <c r="AF7" s="190"/>
      <c r="AG7" s="190"/>
      <c r="AH7" s="190"/>
      <c r="AI7" s="190"/>
      <c r="AJ7" s="190"/>
      <c r="AK7" s="190"/>
      <c r="AL7" s="190"/>
      <c r="AM7" s="190"/>
      <c r="AN7" s="190"/>
      <c r="AO7" s="190"/>
      <c r="AP7" s="190"/>
      <c r="AQ7" s="190"/>
      <c r="AR7" s="190"/>
      <c r="AS7" s="190"/>
      <c r="AT7" s="428">
        <f t="shared" si="16"/>
        <v>0</v>
      </c>
      <c r="AU7" s="714">
        <f>'t1'!AQ7</f>
        <v>0</v>
      </c>
      <c r="CA7" s="895" t="s">
        <v>489</v>
      </c>
    </row>
    <row r="8" spans="1:79" ht="12.75" customHeight="1" x14ac:dyDescent="0.2">
      <c r="A8" s="135" t="str">
        <f>'t1'!A8</f>
        <v>DIRIGENTE I FASCIA A TEMPO DETERM.</v>
      </c>
      <c r="B8" s="201" t="str">
        <f>'t1'!B8</f>
        <v>0D0078</v>
      </c>
      <c r="C8" s="739">
        <f t="shared" si="17"/>
        <v>0</v>
      </c>
      <c r="D8" s="739">
        <f t="shared" si="0"/>
        <v>0</v>
      </c>
      <c r="E8" s="739">
        <f t="shared" si="1"/>
        <v>0</v>
      </c>
      <c r="F8" s="740">
        <f t="shared" si="2"/>
        <v>0</v>
      </c>
      <c r="G8" s="740">
        <f t="shared" si="18"/>
        <v>0</v>
      </c>
      <c r="H8" s="740">
        <f t="shared" si="19"/>
        <v>0</v>
      </c>
      <c r="I8" s="740">
        <f t="shared" si="3"/>
        <v>0</v>
      </c>
      <c r="J8" s="740">
        <f t="shared" si="4"/>
        <v>0</v>
      </c>
      <c r="K8" s="740">
        <f t="shared" si="5"/>
        <v>0</v>
      </c>
      <c r="L8" s="740">
        <f t="shared" si="6"/>
        <v>0</v>
      </c>
      <c r="M8" s="740">
        <f t="shared" si="7"/>
        <v>0</v>
      </c>
      <c r="N8" s="740">
        <f t="shared" si="8"/>
        <v>0</v>
      </c>
      <c r="O8" s="740">
        <f t="shared" si="9"/>
        <v>0</v>
      </c>
      <c r="P8" s="740">
        <f t="shared" si="9"/>
        <v>0</v>
      </c>
      <c r="Q8" s="740">
        <f t="shared" si="10"/>
        <v>0</v>
      </c>
      <c r="R8" s="740">
        <f t="shared" si="11"/>
        <v>0</v>
      </c>
      <c r="S8" s="740">
        <f t="shared" si="12"/>
        <v>0</v>
      </c>
      <c r="T8" s="740">
        <f t="shared" si="13"/>
        <v>0</v>
      </c>
      <c r="U8" s="740">
        <f t="shared" si="14"/>
        <v>0</v>
      </c>
      <c r="V8" s="428">
        <f t="shared" si="15"/>
        <v>0</v>
      </c>
      <c r="W8" s="714">
        <f>'t1'!M8</f>
        <v>0</v>
      </c>
      <c r="AA8" s="189"/>
      <c r="AB8" s="189"/>
      <c r="AC8" s="189"/>
      <c r="AD8" s="190"/>
      <c r="AE8" s="190"/>
      <c r="AF8" s="190"/>
      <c r="AG8" s="190"/>
      <c r="AH8" s="190"/>
      <c r="AI8" s="190"/>
      <c r="AJ8" s="190"/>
      <c r="AK8" s="190"/>
      <c r="AL8" s="190"/>
      <c r="AM8" s="190"/>
      <c r="AN8" s="190"/>
      <c r="AO8" s="190"/>
      <c r="AP8" s="190"/>
      <c r="AQ8" s="190"/>
      <c r="AR8" s="190"/>
      <c r="AS8" s="190"/>
      <c r="AT8" s="428">
        <f t="shared" si="16"/>
        <v>0</v>
      </c>
      <c r="AU8" s="714">
        <f>'t1'!AQ8</f>
        <v>0</v>
      </c>
      <c r="CA8" s="895" t="s">
        <v>489</v>
      </c>
    </row>
    <row r="9" spans="1:79" ht="12.75" customHeight="1" x14ac:dyDescent="0.2">
      <c r="A9" s="135" t="str">
        <f>'t1'!A9</f>
        <v>DIRIGENTE II FASCIA</v>
      </c>
      <c r="B9" s="201" t="str">
        <f>'t1'!B9</f>
        <v>0D0079</v>
      </c>
      <c r="C9" s="739">
        <f t="shared" si="17"/>
        <v>0</v>
      </c>
      <c r="D9" s="739">
        <f>ROUND(AB9,0)</f>
        <v>0</v>
      </c>
      <c r="E9" s="739">
        <f>ROUND(AC9,0)</f>
        <v>0</v>
      </c>
      <c r="F9" s="740">
        <f t="shared" si="2"/>
        <v>0</v>
      </c>
      <c r="G9" s="740">
        <f t="shared" si="18"/>
        <v>0</v>
      </c>
      <c r="H9" s="740">
        <f t="shared" si="19"/>
        <v>0</v>
      </c>
      <c r="I9" s="740">
        <f t="shared" si="3"/>
        <v>0</v>
      </c>
      <c r="J9" s="740">
        <f t="shared" si="4"/>
        <v>0</v>
      </c>
      <c r="K9" s="740">
        <f t="shared" si="5"/>
        <v>0</v>
      </c>
      <c r="L9" s="740">
        <f t="shared" si="6"/>
        <v>0</v>
      </c>
      <c r="M9" s="740">
        <f t="shared" si="7"/>
        <v>0</v>
      </c>
      <c r="N9" s="740">
        <f t="shared" si="8"/>
        <v>0</v>
      </c>
      <c r="O9" s="740">
        <f t="shared" si="9"/>
        <v>0</v>
      </c>
      <c r="P9" s="740">
        <f t="shared" si="9"/>
        <v>0</v>
      </c>
      <c r="Q9" s="740">
        <f t="shared" si="10"/>
        <v>0</v>
      </c>
      <c r="R9" s="740">
        <f t="shared" si="11"/>
        <v>0</v>
      </c>
      <c r="S9" s="740">
        <f t="shared" si="12"/>
        <v>0</v>
      </c>
      <c r="T9" s="740">
        <f t="shared" si="13"/>
        <v>0</v>
      </c>
      <c r="U9" s="740">
        <f t="shared" si="14"/>
        <v>0</v>
      </c>
      <c r="V9" s="428">
        <f t="shared" si="15"/>
        <v>0</v>
      </c>
      <c r="W9" s="714">
        <f>'t1'!M9</f>
        <v>0</v>
      </c>
      <c r="AA9" s="189"/>
      <c r="AB9" s="189"/>
      <c r="AC9" s="189"/>
      <c r="AD9" s="190"/>
      <c r="AE9" s="190"/>
      <c r="AF9" s="190"/>
      <c r="AG9" s="190"/>
      <c r="AH9" s="190"/>
      <c r="AI9" s="190"/>
      <c r="AJ9" s="190"/>
      <c r="AK9" s="190"/>
      <c r="AL9" s="190"/>
      <c r="AM9" s="190"/>
      <c r="AN9" s="190"/>
      <c r="AO9" s="190"/>
      <c r="AP9" s="190"/>
      <c r="AQ9" s="190"/>
      <c r="AR9" s="190"/>
      <c r="AS9" s="190"/>
      <c r="AT9" s="428">
        <f t="shared" si="16"/>
        <v>0</v>
      </c>
      <c r="AU9" s="714">
        <f>'t1'!AQ9</f>
        <v>0</v>
      </c>
      <c r="CA9" s="895" t="s">
        <v>472</v>
      </c>
    </row>
    <row r="10" spans="1:79" ht="12.75" customHeight="1" x14ac:dyDescent="0.2">
      <c r="A10" s="135" t="str">
        <f>'t1'!A10</f>
        <v>DIRIGENTE II FASCIA A TEMPO DETERM.</v>
      </c>
      <c r="B10" s="201" t="str">
        <f>'t1'!B10</f>
        <v>0D0080</v>
      </c>
      <c r="C10" s="739">
        <f t="shared" si="17"/>
        <v>0</v>
      </c>
      <c r="D10" s="739">
        <f t="shared" si="0"/>
        <v>0</v>
      </c>
      <c r="E10" s="739">
        <f t="shared" si="1"/>
        <v>0</v>
      </c>
      <c r="F10" s="740">
        <f t="shared" si="2"/>
        <v>0</v>
      </c>
      <c r="G10" s="740">
        <f t="shared" si="18"/>
        <v>0</v>
      </c>
      <c r="H10" s="740">
        <f t="shared" si="19"/>
        <v>0</v>
      </c>
      <c r="I10" s="740">
        <f t="shared" si="3"/>
        <v>0</v>
      </c>
      <c r="J10" s="740">
        <f t="shared" si="4"/>
        <v>0</v>
      </c>
      <c r="K10" s="740">
        <f t="shared" si="5"/>
        <v>0</v>
      </c>
      <c r="L10" s="740">
        <f t="shared" si="6"/>
        <v>0</v>
      </c>
      <c r="M10" s="740">
        <f t="shared" si="7"/>
        <v>0</v>
      </c>
      <c r="N10" s="740">
        <f t="shared" si="8"/>
        <v>0</v>
      </c>
      <c r="O10" s="740">
        <f t="shared" si="9"/>
        <v>0</v>
      </c>
      <c r="P10" s="740">
        <f t="shared" si="9"/>
        <v>0</v>
      </c>
      <c r="Q10" s="740">
        <f t="shared" si="10"/>
        <v>0</v>
      </c>
      <c r="R10" s="740">
        <f t="shared" si="11"/>
        <v>0</v>
      </c>
      <c r="S10" s="740">
        <f t="shared" si="12"/>
        <v>0</v>
      </c>
      <c r="T10" s="740">
        <f t="shared" si="13"/>
        <v>0</v>
      </c>
      <c r="U10" s="740">
        <f t="shared" si="14"/>
        <v>0</v>
      </c>
      <c r="V10" s="428">
        <f t="shared" si="15"/>
        <v>0</v>
      </c>
      <c r="W10" s="714">
        <f>'t1'!M10</f>
        <v>0</v>
      </c>
      <c r="AA10" s="189"/>
      <c r="AB10" s="189"/>
      <c r="AC10" s="189"/>
      <c r="AD10" s="190"/>
      <c r="AE10" s="190"/>
      <c r="AF10" s="190"/>
      <c r="AG10" s="190"/>
      <c r="AH10" s="190"/>
      <c r="AI10" s="190"/>
      <c r="AJ10" s="190"/>
      <c r="AK10" s="190"/>
      <c r="AL10" s="190"/>
      <c r="AM10" s="190"/>
      <c r="AN10" s="190"/>
      <c r="AO10" s="190"/>
      <c r="AP10" s="190"/>
      <c r="AQ10" s="190"/>
      <c r="AR10" s="190"/>
      <c r="AS10" s="190"/>
      <c r="AT10" s="428">
        <f t="shared" si="16"/>
        <v>0</v>
      </c>
      <c r="AU10" s="714">
        <f>'t1'!AQ10</f>
        <v>0</v>
      </c>
      <c r="CA10" s="895" t="s">
        <v>472</v>
      </c>
    </row>
    <row r="11" spans="1:79" ht="12.75" customHeight="1" x14ac:dyDescent="0.2">
      <c r="A11" s="135" t="str">
        <f>'t1'!A11</f>
        <v>MEDICO II FASCIA T.P.</v>
      </c>
      <c r="B11" s="201" t="str">
        <f>'t1'!B11</f>
        <v>0D0584</v>
      </c>
      <c r="C11" s="739">
        <f t="shared" si="17"/>
        <v>0</v>
      </c>
      <c r="D11" s="739">
        <f t="shared" si="0"/>
        <v>0</v>
      </c>
      <c r="E11" s="739">
        <f t="shared" si="1"/>
        <v>0</v>
      </c>
      <c r="F11" s="740">
        <f t="shared" si="2"/>
        <v>0</v>
      </c>
      <c r="G11" s="740">
        <f t="shared" si="18"/>
        <v>0</v>
      </c>
      <c r="H11" s="740">
        <f t="shared" si="19"/>
        <v>0</v>
      </c>
      <c r="I11" s="740">
        <f t="shared" si="3"/>
        <v>0</v>
      </c>
      <c r="J11" s="740">
        <f t="shared" si="4"/>
        <v>0</v>
      </c>
      <c r="K11" s="740">
        <f t="shared" si="5"/>
        <v>0</v>
      </c>
      <c r="L11" s="740">
        <f t="shared" si="6"/>
        <v>0</v>
      </c>
      <c r="M11" s="740">
        <f t="shared" si="7"/>
        <v>0</v>
      </c>
      <c r="N11" s="740">
        <f t="shared" si="8"/>
        <v>0</v>
      </c>
      <c r="O11" s="740">
        <f t="shared" si="9"/>
        <v>0</v>
      </c>
      <c r="P11" s="740">
        <f t="shared" si="9"/>
        <v>0</v>
      </c>
      <c r="Q11" s="740">
        <f t="shared" si="10"/>
        <v>0</v>
      </c>
      <c r="R11" s="740">
        <f t="shared" si="11"/>
        <v>0</v>
      </c>
      <c r="S11" s="740">
        <f t="shared" si="12"/>
        <v>0</v>
      </c>
      <c r="T11" s="740">
        <f t="shared" si="13"/>
        <v>0</v>
      </c>
      <c r="U11" s="740">
        <f t="shared" si="14"/>
        <v>0</v>
      </c>
      <c r="V11" s="428">
        <f t="shared" si="15"/>
        <v>0</v>
      </c>
      <c r="W11" s="714">
        <f>'t1'!M11</f>
        <v>0</v>
      </c>
      <c r="AA11" s="189"/>
      <c r="AB11" s="189"/>
      <c r="AC11" s="189"/>
      <c r="AD11" s="190"/>
      <c r="AE11" s="190"/>
      <c r="AF11" s="190"/>
      <c r="AG11" s="190"/>
      <c r="AH11" s="190"/>
      <c r="AI11" s="190"/>
      <c r="AJ11" s="190"/>
      <c r="AK11" s="190"/>
      <c r="AL11" s="190"/>
      <c r="AM11" s="190"/>
      <c r="AN11" s="190"/>
      <c r="AO11" s="190"/>
      <c r="AP11" s="190"/>
      <c r="AQ11" s="190"/>
      <c r="AR11" s="190"/>
      <c r="AS11" s="190"/>
      <c r="AT11" s="428">
        <f t="shared" si="16"/>
        <v>0</v>
      </c>
      <c r="AU11" s="714">
        <f>'t1'!AQ11</f>
        <v>0</v>
      </c>
      <c r="CA11" s="895" t="s">
        <v>473</v>
      </c>
    </row>
    <row r="12" spans="1:79" ht="12.75" customHeight="1" x14ac:dyDescent="0.2">
      <c r="A12" s="135" t="str">
        <f>'t1'!A12</f>
        <v>MEDICO I FASCIA T.P.</v>
      </c>
      <c r="B12" s="201" t="str">
        <f>'t1'!B12</f>
        <v>0D0585</v>
      </c>
      <c r="C12" s="739">
        <f t="shared" si="17"/>
        <v>0</v>
      </c>
      <c r="D12" s="739">
        <f t="shared" si="0"/>
        <v>0</v>
      </c>
      <c r="E12" s="739">
        <f t="shared" si="1"/>
        <v>0</v>
      </c>
      <c r="F12" s="740">
        <f t="shared" si="2"/>
        <v>0</v>
      </c>
      <c r="G12" s="740">
        <f t="shared" si="18"/>
        <v>0</v>
      </c>
      <c r="H12" s="740">
        <f t="shared" si="19"/>
        <v>0</v>
      </c>
      <c r="I12" s="740">
        <f t="shared" si="3"/>
        <v>0</v>
      </c>
      <c r="J12" s="740">
        <f t="shared" si="4"/>
        <v>0</v>
      </c>
      <c r="K12" s="740">
        <f t="shared" si="5"/>
        <v>0</v>
      </c>
      <c r="L12" s="740">
        <f t="shared" si="6"/>
        <v>0</v>
      </c>
      <c r="M12" s="740">
        <f t="shared" si="7"/>
        <v>0</v>
      </c>
      <c r="N12" s="740">
        <f t="shared" si="8"/>
        <v>0</v>
      </c>
      <c r="O12" s="740">
        <f t="shared" si="9"/>
        <v>0</v>
      </c>
      <c r="P12" s="740">
        <f t="shared" si="9"/>
        <v>0</v>
      </c>
      <c r="Q12" s="740">
        <f t="shared" si="10"/>
        <v>0</v>
      </c>
      <c r="R12" s="740">
        <f t="shared" si="11"/>
        <v>0</v>
      </c>
      <c r="S12" s="740">
        <f t="shared" si="12"/>
        <v>0</v>
      </c>
      <c r="T12" s="740">
        <f t="shared" si="13"/>
        <v>0</v>
      </c>
      <c r="U12" s="740">
        <f t="shared" si="14"/>
        <v>0</v>
      </c>
      <c r="V12" s="428">
        <f t="shared" si="15"/>
        <v>0</v>
      </c>
      <c r="W12" s="714">
        <f>'t1'!M12</f>
        <v>0</v>
      </c>
      <c r="AA12" s="189"/>
      <c r="AB12" s="189"/>
      <c r="AC12" s="189"/>
      <c r="AD12" s="190"/>
      <c r="AE12" s="190"/>
      <c r="AF12" s="190"/>
      <c r="AG12" s="190"/>
      <c r="AH12" s="190"/>
      <c r="AI12" s="190"/>
      <c r="AJ12" s="190"/>
      <c r="AK12" s="190"/>
      <c r="AL12" s="190"/>
      <c r="AM12" s="190"/>
      <c r="AN12" s="190"/>
      <c r="AO12" s="190"/>
      <c r="AP12" s="190"/>
      <c r="AQ12" s="190"/>
      <c r="AR12" s="190"/>
      <c r="AS12" s="190"/>
      <c r="AT12" s="428">
        <f t="shared" si="16"/>
        <v>0</v>
      </c>
      <c r="AU12" s="714">
        <f>'t1'!AQ12</f>
        <v>0</v>
      </c>
      <c r="CA12" s="895" t="s">
        <v>473</v>
      </c>
    </row>
    <row r="13" spans="1:79" ht="12.75" customHeight="1" x14ac:dyDescent="0.2">
      <c r="A13" s="135" t="str">
        <f>'t1'!A13</f>
        <v>MEDICO II FASCIA T.D.</v>
      </c>
      <c r="B13" s="201" t="str">
        <f>'t1'!B13</f>
        <v>0D0586</v>
      </c>
      <c r="C13" s="739">
        <f t="shared" si="17"/>
        <v>0</v>
      </c>
      <c r="D13" s="739">
        <f t="shared" si="0"/>
        <v>0</v>
      </c>
      <c r="E13" s="739">
        <f t="shared" si="1"/>
        <v>0</v>
      </c>
      <c r="F13" s="740">
        <f t="shared" si="2"/>
        <v>0</v>
      </c>
      <c r="G13" s="740">
        <f t="shared" si="18"/>
        <v>0</v>
      </c>
      <c r="H13" s="740">
        <f t="shared" si="19"/>
        <v>0</v>
      </c>
      <c r="I13" s="740">
        <f t="shared" si="3"/>
        <v>0</v>
      </c>
      <c r="J13" s="740">
        <f t="shared" si="4"/>
        <v>0</v>
      </c>
      <c r="K13" s="740">
        <f t="shared" si="5"/>
        <v>0</v>
      </c>
      <c r="L13" s="740">
        <f t="shared" si="6"/>
        <v>0</v>
      </c>
      <c r="M13" s="740">
        <f t="shared" si="7"/>
        <v>0</v>
      </c>
      <c r="N13" s="740">
        <f t="shared" si="8"/>
        <v>0</v>
      </c>
      <c r="O13" s="740">
        <f t="shared" si="9"/>
        <v>0</v>
      </c>
      <c r="P13" s="740">
        <f t="shared" si="9"/>
        <v>0</v>
      </c>
      <c r="Q13" s="740">
        <f t="shared" si="10"/>
        <v>0</v>
      </c>
      <c r="R13" s="740">
        <f t="shared" si="11"/>
        <v>0</v>
      </c>
      <c r="S13" s="740">
        <f t="shared" si="12"/>
        <v>0</v>
      </c>
      <c r="T13" s="740">
        <f t="shared" si="13"/>
        <v>0</v>
      </c>
      <c r="U13" s="740">
        <f t="shared" si="14"/>
        <v>0</v>
      </c>
      <c r="V13" s="428">
        <f t="shared" si="15"/>
        <v>0</v>
      </c>
      <c r="W13" s="714">
        <f>'t1'!M13</f>
        <v>0</v>
      </c>
      <c r="AA13" s="189"/>
      <c r="AB13" s="189"/>
      <c r="AC13" s="189"/>
      <c r="AD13" s="190"/>
      <c r="AE13" s="190"/>
      <c r="AF13" s="190"/>
      <c r="AG13" s="190"/>
      <c r="AH13" s="190"/>
      <c r="AI13" s="190"/>
      <c r="AJ13" s="190"/>
      <c r="AK13" s="190"/>
      <c r="AL13" s="190"/>
      <c r="AM13" s="190"/>
      <c r="AN13" s="190"/>
      <c r="AO13" s="190"/>
      <c r="AP13" s="190"/>
      <c r="AQ13" s="190"/>
      <c r="AR13" s="190"/>
      <c r="AS13" s="190"/>
      <c r="AT13" s="428">
        <f t="shared" si="16"/>
        <v>0</v>
      </c>
      <c r="AU13" s="714">
        <f>'t1'!AQ13</f>
        <v>0</v>
      </c>
      <c r="CA13" s="895" t="s">
        <v>473</v>
      </c>
    </row>
    <row r="14" spans="1:79" ht="12.75" customHeight="1" x14ac:dyDescent="0.2">
      <c r="A14" s="135" t="str">
        <f>'t1'!A14</f>
        <v>MEDICO I FASCIA T.D.</v>
      </c>
      <c r="B14" s="201" t="str">
        <f>'t1'!B14</f>
        <v>0D0496</v>
      </c>
      <c r="C14" s="739">
        <f t="shared" si="17"/>
        <v>0</v>
      </c>
      <c r="D14" s="739">
        <f t="shared" si="0"/>
        <v>0</v>
      </c>
      <c r="E14" s="739">
        <f t="shared" si="1"/>
        <v>0</v>
      </c>
      <c r="F14" s="740">
        <f t="shared" si="2"/>
        <v>0</v>
      </c>
      <c r="G14" s="740">
        <f t="shared" si="18"/>
        <v>0</v>
      </c>
      <c r="H14" s="740">
        <f t="shared" si="19"/>
        <v>0</v>
      </c>
      <c r="I14" s="740">
        <f t="shared" si="3"/>
        <v>0</v>
      </c>
      <c r="J14" s="740">
        <f t="shared" si="4"/>
        <v>0</v>
      </c>
      <c r="K14" s="740">
        <f t="shared" si="5"/>
        <v>0</v>
      </c>
      <c r="L14" s="740">
        <f t="shared" si="6"/>
        <v>0</v>
      </c>
      <c r="M14" s="740">
        <f t="shared" si="7"/>
        <v>0</v>
      </c>
      <c r="N14" s="740">
        <f t="shared" si="8"/>
        <v>0</v>
      </c>
      <c r="O14" s="740">
        <f t="shared" si="9"/>
        <v>0</v>
      </c>
      <c r="P14" s="740">
        <f t="shared" si="9"/>
        <v>0</v>
      </c>
      <c r="Q14" s="740">
        <f t="shared" si="10"/>
        <v>0</v>
      </c>
      <c r="R14" s="740">
        <f t="shared" si="11"/>
        <v>0</v>
      </c>
      <c r="S14" s="740">
        <f t="shared" si="12"/>
        <v>0</v>
      </c>
      <c r="T14" s="740">
        <f t="shared" si="13"/>
        <v>0</v>
      </c>
      <c r="U14" s="740">
        <f t="shared" si="14"/>
        <v>0</v>
      </c>
      <c r="V14" s="428">
        <f t="shared" si="15"/>
        <v>0</v>
      </c>
      <c r="W14" s="714">
        <f>'t1'!M14</f>
        <v>0</v>
      </c>
      <c r="AA14" s="189"/>
      <c r="AB14" s="189"/>
      <c r="AC14" s="189"/>
      <c r="AD14" s="190"/>
      <c r="AE14" s="190"/>
      <c r="AF14" s="190"/>
      <c r="AG14" s="190"/>
      <c r="AH14" s="190"/>
      <c r="AI14" s="190"/>
      <c r="AJ14" s="190"/>
      <c r="AK14" s="190"/>
      <c r="AL14" s="190"/>
      <c r="AM14" s="190"/>
      <c r="AN14" s="190"/>
      <c r="AO14" s="190"/>
      <c r="AP14" s="190"/>
      <c r="AQ14" s="190"/>
      <c r="AR14" s="190"/>
      <c r="AS14" s="190"/>
      <c r="AT14" s="428">
        <f t="shared" si="16"/>
        <v>0</v>
      </c>
      <c r="AU14" s="714">
        <f>'t1'!AQ14</f>
        <v>0</v>
      </c>
      <c r="CA14" s="895" t="s">
        <v>473</v>
      </c>
    </row>
    <row r="15" spans="1:79" ht="12.75" customHeight="1" x14ac:dyDescent="0.2">
      <c r="A15" s="135" t="str">
        <f>'t1'!A15</f>
        <v>PROF.STI LEGALI LIV. II DIFF.</v>
      </c>
      <c r="B15" s="201" t="str">
        <f>'t1'!B15</f>
        <v>0D0473</v>
      </c>
      <c r="C15" s="739">
        <f t="shared" si="17"/>
        <v>0</v>
      </c>
      <c r="D15" s="739">
        <f t="shared" si="0"/>
        <v>0</v>
      </c>
      <c r="E15" s="739">
        <f t="shared" si="1"/>
        <v>0</v>
      </c>
      <c r="F15" s="740">
        <f t="shared" si="2"/>
        <v>0</v>
      </c>
      <c r="G15" s="740">
        <f t="shared" si="18"/>
        <v>0</v>
      </c>
      <c r="H15" s="740">
        <f t="shared" si="19"/>
        <v>0</v>
      </c>
      <c r="I15" s="740">
        <f t="shared" si="3"/>
        <v>0</v>
      </c>
      <c r="J15" s="740">
        <f t="shared" si="4"/>
        <v>0</v>
      </c>
      <c r="K15" s="740">
        <f t="shared" si="5"/>
        <v>0</v>
      </c>
      <c r="L15" s="740">
        <f t="shared" si="6"/>
        <v>0</v>
      </c>
      <c r="M15" s="740">
        <f t="shared" si="7"/>
        <v>0</v>
      </c>
      <c r="N15" s="740">
        <f t="shared" si="8"/>
        <v>0</v>
      </c>
      <c r="O15" s="740">
        <f t="shared" si="9"/>
        <v>0</v>
      </c>
      <c r="P15" s="740">
        <f t="shared" si="9"/>
        <v>0</v>
      </c>
      <c r="Q15" s="740">
        <f t="shared" si="10"/>
        <v>0</v>
      </c>
      <c r="R15" s="740">
        <f t="shared" si="11"/>
        <v>0</v>
      </c>
      <c r="S15" s="740">
        <f t="shared" si="12"/>
        <v>0</v>
      </c>
      <c r="T15" s="740">
        <f t="shared" si="13"/>
        <v>0</v>
      </c>
      <c r="U15" s="740">
        <f t="shared" si="14"/>
        <v>0</v>
      </c>
      <c r="V15" s="428">
        <f t="shared" si="15"/>
        <v>0</v>
      </c>
      <c r="W15" s="714">
        <f>'t1'!M15</f>
        <v>0</v>
      </c>
      <c r="AA15" s="189"/>
      <c r="AB15" s="189"/>
      <c r="AC15" s="189"/>
      <c r="AD15" s="190"/>
      <c r="AE15" s="190"/>
      <c r="AF15" s="190"/>
      <c r="AG15" s="190"/>
      <c r="AH15" s="190"/>
      <c r="AI15" s="190"/>
      <c r="AJ15" s="190"/>
      <c r="AK15" s="190"/>
      <c r="AL15" s="190"/>
      <c r="AM15" s="190"/>
      <c r="AN15" s="190"/>
      <c r="AO15" s="190"/>
      <c r="AP15" s="190"/>
      <c r="AQ15" s="190"/>
      <c r="AR15" s="190"/>
      <c r="AS15" s="190"/>
      <c r="AT15" s="428">
        <f t="shared" si="16"/>
        <v>0</v>
      </c>
      <c r="AU15" s="714">
        <f>'t1'!AQ15</f>
        <v>0</v>
      </c>
      <c r="CA15" s="895" t="s">
        <v>474</v>
      </c>
    </row>
    <row r="16" spans="1:79" ht="12.75" customHeight="1" x14ac:dyDescent="0.2">
      <c r="A16" s="135" t="str">
        <f>'t1'!A16</f>
        <v>PROF.STI LEGALI LIV. I DIFF.</v>
      </c>
      <c r="B16" s="201" t="str">
        <f>'t1'!B16</f>
        <v>0D0472</v>
      </c>
      <c r="C16" s="739">
        <f t="shared" si="17"/>
        <v>0</v>
      </c>
      <c r="D16" s="739">
        <f t="shared" si="0"/>
        <v>0</v>
      </c>
      <c r="E16" s="739">
        <f t="shared" si="1"/>
        <v>0</v>
      </c>
      <c r="F16" s="740">
        <f t="shared" si="2"/>
        <v>0</v>
      </c>
      <c r="G16" s="740">
        <f t="shared" si="18"/>
        <v>0</v>
      </c>
      <c r="H16" s="740">
        <f t="shared" si="19"/>
        <v>0</v>
      </c>
      <c r="I16" s="740">
        <f t="shared" si="3"/>
        <v>0</v>
      </c>
      <c r="J16" s="740">
        <f t="shared" si="4"/>
        <v>0</v>
      </c>
      <c r="K16" s="740">
        <f t="shared" si="5"/>
        <v>0</v>
      </c>
      <c r="L16" s="740">
        <f t="shared" si="6"/>
        <v>0</v>
      </c>
      <c r="M16" s="740">
        <f t="shared" si="7"/>
        <v>0</v>
      </c>
      <c r="N16" s="740">
        <f t="shared" si="8"/>
        <v>0</v>
      </c>
      <c r="O16" s="740">
        <f t="shared" si="9"/>
        <v>0</v>
      </c>
      <c r="P16" s="740">
        <f t="shared" si="9"/>
        <v>0</v>
      </c>
      <c r="Q16" s="740">
        <f t="shared" si="10"/>
        <v>0</v>
      </c>
      <c r="R16" s="740">
        <f t="shared" si="11"/>
        <v>0</v>
      </c>
      <c r="S16" s="740">
        <f t="shared" si="12"/>
        <v>0</v>
      </c>
      <c r="T16" s="740">
        <f t="shared" si="13"/>
        <v>0</v>
      </c>
      <c r="U16" s="740">
        <f t="shared" si="14"/>
        <v>0</v>
      </c>
      <c r="V16" s="428">
        <f t="shared" si="15"/>
        <v>0</v>
      </c>
      <c r="W16" s="714">
        <f>'t1'!M16</f>
        <v>0</v>
      </c>
      <c r="AA16" s="189"/>
      <c r="AB16" s="189"/>
      <c r="AC16" s="189"/>
      <c r="AD16" s="190"/>
      <c r="AE16" s="190"/>
      <c r="AF16" s="190"/>
      <c r="AG16" s="190"/>
      <c r="AH16" s="190"/>
      <c r="AI16" s="190"/>
      <c r="AJ16" s="190"/>
      <c r="AK16" s="190"/>
      <c r="AL16" s="190"/>
      <c r="AM16" s="190"/>
      <c r="AN16" s="190"/>
      <c r="AO16" s="190"/>
      <c r="AP16" s="190"/>
      <c r="AQ16" s="190"/>
      <c r="AR16" s="190"/>
      <c r="AS16" s="190"/>
      <c r="AT16" s="428">
        <f t="shared" si="16"/>
        <v>0</v>
      </c>
      <c r="AU16" s="714">
        <f>'t1'!AQ16</f>
        <v>0</v>
      </c>
      <c r="CA16" s="895" t="s">
        <v>474</v>
      </c>
    </row>
    <row r="17" spans="1:79" ht="12.75" customHeight="1" x14ac:dyDescent="0.2">
      <c r="A17" s="135" t="str">
        <f>'t1'!A17</f>
        <v>PROF.STI LEGALI</v>
      </c>
      <c r="B17" s="201" t="str">
        <f>'t1'!B17</f>
        <v>0D0084</v>
      </c>
      <c r="C17" s="739">
        <f t="shared" si="17"/>
        <v>0</v>
      </c>
      <c r="D17" s="739">
        <f t="shared" si="0"/>
        <v>0</v>
      </c>
      <c r="E17" s="739">
        <f t="shared" si="1"/>
        <v>0</v>
      </c>
      <c r="F17" s="740">
        <f t="shared" si="2"/>
        <v>0</v>
      </c>
      <c r="G17" s="740">
        <f t="shared" si="18"/>
        <v>0</v>
      </c>
      <c r="H17" s="740">
        <f t="shared" si="19"/>
        <v>0</v>
      </c>
      <c r="I17" s="740">
        <f t="shared" si="3"/>
        <v>0</v>
      </c>
      <c r="J17" s="740">
        <f t="shared" si="4"/>
        <v>0</v>
      </c>
      <c r="K17" s="740">
        <f t="shared" si="5"/>
        <v>0</v>
      </c>
      <c r="L17" s="740">
        <f t="shared" si="6"/>
        <v>0</v>
      </c>
      <c r="M17" s="740">
        <f t="shared" si="7"/>
        <v>0</v>
      </c>
      <c r="N17" s="740">
        <f t="shared" si="8"/>
        <v>0</v>
      </c>
      <c r="O17" s="740">
        <f t="shared" si="9"/>
        <v>0</v>
      </c>
      <c r="P17" s="740">
        <f t="shared" si="9"/>
        <v>0</v>
      </c>
      <c r="Q17" s="740">
        <f t="shared" si="10"/>
        <v>0</v>
      </c>
      <c r="R17" s="740">
        <f t="shared" si="11"/>
        <v>0</v>
      </c>
      <c r="S17" s="740">
        <f t="shared" si="12"/>
        <v>0</v>
      </c>
      <c r="T17" s="740">
        <f t="shared" si="13"/>
        <v>0</v>
      </c>
      <c r="U17" s="740">
        <f t="shared" si="14"/>
        <v>0</v>
      </c>
      <c r="V17" s="428">
        <f t="shared" si="15"/>
        <v>0</v>
      </c>
      <c r="W17" s="714">
        <f>'t1'!M17</f>
        <v>0</v>
      </c>
      <c r="AA17" s="189"/>
      <c r="AB17" s="189"/>
      <c r="AC17" s="189"/>
      <c r="AD17" s="190"/>
      <c r="AE17" s="190"/>
      <c r="AF17" s="190"/>
      <c r="AG17" s="190"/>
      <c r="AH17" s="190"/>
      <c r="AI17" s="190"/>
      <c r="AJ17" s="190"/>
      <c r="AK17" s="190"/>
      <c r="AL17" s="190"/>
      <c r="AM17" s="190"/>
      <c r="AN17" s="190"/>
      <c r="AO17" s="190"/>
      <c r="AP17" s="190"/>
      <c r="AQ17" s="190"/>
      <c r="AR17" s="190"/>
      <c r="AS17" s="190"/>
      <c r="AT17" s="428">
        <f t="shared" si="16"/>
        <v>0</v>
      </c>
      <c r="AU17" s="714">
        <f>'t1'!AQ17</f>
        <v>0</v>
      </c>
      <c r="CA17" s="895" t="s">
        <v>474</v>
      </c>
    </row>
    <row r="18" spans="1:79" ht="12.75" customHeight="1" x14ac:dyDescent="0.2">
      <c r="A18" s="135" t="str">
        <f>'t1'!A18</f>
        <v>ALTRI PROF.STI LIV. II DIFF.</v>
      </c>
      <c r="B18" s="201" t="str">
        <f>'t1'!B18</f>
        <v>0D0481</v>
      </c>
      <c r="C18" s="739">
        <f t="shared" si="17"/>
        <v>0</v>
      </c>
      <c r="D18" s="739">
        <f t="shared" si="0"/>
        <v>0</v>
      </c>
      <c r="E18" s="739">
        <f t="shared" si="1"/>
        <v>0</v>
      </c>
      <c r="F18" s="740">
        <f t="shared" si="2"/>
        <v>0</v>
      </c>
      <c r="G18" s="740">
        <f t="shared" si="18"/>
        <v>0</v>
      </c>
      <c r="H18" s="740">
        <f t="shared" si="19"/>
        <v>0</v>
      </c>
      <c r="I18" s="740">
        <f t="shared" si="3"/>
        <v>0</v>
      </c>
      <c r="J18" s="740">
        <f t="shared" si="4"/>
        <v>0</v>
      </c>
      <c r="K18" s="740">
        <f t="shared" si="5"/>
        <v>0</v>
      </c>
      <c r="L18" s="740">
        <f t="shared" si="6"/>
        <v>0</v>
      </c>
      <c r="M18" s="740">
        <f t="shared" si="7"/>
        <v>0</v>
      </c>
      <c r="N18" s="740">
        <f t="shared" si="8"/>
        <v>0</v>
      </c>
      <c r="O18" s="740">
        <f t="shared" si="9"/>
        <v>0</v>
      </c>
      <c r="P18" s="740">
        <f t="shared" si="9"/>
        <v>0</v>
      </c>
      <c r="Q18" s="740">
        <f t="shared" si="10"/>
        <v>0</v>
      </c>
      <c r="R18" s="740">
        <f t="shared" si="11"/>
        <v>0</v>
      </c>
      <c r="S18" s="740">
        <f t="shared" si="12"/>
        <v>0</v>
      </c>
      <c r="T18" s="740">
        <f t="shared" si="13"/>
        <v>0</v>
      </c>
      <c r="U18" s="740">
        <f t="shared" si="14"/>
        <v>0</v>
      </c>
      <c r="V18" s="428">
        <f t="shared" si="15"/>
        <v>0</v>
      </c>
      <c r="W18" s="714">
        <f>'t1'!M18</f>
        <v>0</v>
      </c>
      <c r="AA18" s="189"/>
      <c r="AB18" s="189"/>
      <c r="AC18" s="189"/>
      <c r="AD18" s="190"/>
      <c r="AE18" s="190"/>
      <c r="AF18" s="190"/>
      <c r="AG18" s="190"/>
      <c r="AH18" s="190"/>
      <c r="AI18" s="190"/>
      <c r="AJ18" s="190"/>
      <c r="AK18" s="190"/>
      <c r="AL18" s="190"/>
      <c r="AM18" s="190"/>
      <c r="AN18" s="190"/>
      <c r="AO18" s="190"/>
      <c r="AP18" s="190"/>
      <c r="AQ18" s="190"/>
      <c r="AR18" s="190"/>
      <c r="AS18" s="190"/>
      <c r="AT18" s="428">
        <f t="shared" si="16"/>
        <v>0</v>
      </c>
      <c r="AU18" s="714">
        <f>'t1'!AQ18</f>
        <v>0</v>
      </c>
      <c r="CA18" s="895" t="s">
        <v>474</v>
      </c>
    </row>
    <row r="19" spans="1:79" ht="12.75" customHeight="1" x14ac:dyDescent="0.2">
      <c r="A19" s="135" t="str">
        <f>'t1'!A19</f>
        <v>ALTRI PROF.STI LIV. I DIFF.</v>
      </c>
      <c r="B19" s="201" t="str">
        <f>'t1'!B19</f>
        <v>0D0480</v>
      </c>
      <c r="C19" s="739">
        <f t="shared" si="17"/>
        <v>0</v>
      </c>
      <c r="D19" s="739">
        <f t="shared" si="0"/>
        <v>0</v>
      </c>
      <c r="E19" s="739">
        <f t="shared" si="1"/>
        <v>0</v>
      </c>
      <c r="F19" s="740">
        <f t="shared" si="2"/>
        <v>0</v>
      </c>
      <c r="G19" s="740">
        <f t="shared" si="18"/>
        <v>0</v>
      </c>
      <c r="H19" s="740">
        <f t="shared" si="19"/>
        <v>0</v>
      </c>
      <c r="I19" s="740">
        <f t="shared" si="3"/>
        <v>0</v>
      </c>
      <c r="J19" s="740">
        <f t="shared" si="4"/>
        <v>0</v>
      </c>
      <c r="K19" s="740">
        <f t="shared" si="5"/>
        <v>0</v>
      </c>
      <c r="L19" s="740">
        <f t="shared" si="6"/>
        <v>0</v>
      </c>
      <c r="M19" s="740">
        <f t="shared" si="7"/>
        <v>0</v>
      </c>
      <c r="N19" s="740">
        <f t="shared" si="8"/>
        <v>0</v>
      </c>
      <c r="O19" s="740">
        <f t="shared" si="9"/>
        <v>0</v>
      </c>
      <c r="P19" s="740">
        <f t="shared" si="9"/>
        <v>0</v>
      </c>
      <c r="Q19" s="740">
        <f t="shared" si="10"/>
        <v>0</v>
      </c>
      <c r="R19" s="740">
        <f t="shared" si="11"/>
        <v>0</v>
      </c>
      <c r="S19" s="740">
        <f t="shared" si="12"/>
        <v>0</v>
      </c>
      <c r="T19" s="740">
        <f t="shared" si="13"/>
        <v>0</v>
      </c>
      <c r="U19" s="740">
        <f t="shared" si="14"/>
        <v>0</v>
      </c>
      <c r="V19" s="428">
        <f t="shared" si="15"/>
        <v>0</v>
      </c>
      <c r="W19" s="714">
        <f>'t1'!M19</f>
        <v>0</v>
      </c>
      <c r="AA19" s="189"/>
      <c r="AB19" s="189"/>
      <c r="AC19" s="189"/>
      <c r="AD19" s="190"/>
      <c r="AE19" s="190"/>
      <c r="AF19" s="190"/>
      <c r="AG19" s="190"/>
      <c r="AH19" s="190"/>
      <c r="AI19" s="190"/>
      <c r="AJ19" s="190"/>
      <c r="AK19" s="190"/>
      <c r="AL19" s="190"/>
      <c r="AM19" s="190"/>
      <c r="AN19" s="190"/>
      <c r="AO19" s="190"/>
      <c r="AP19" s="190"/>
      <c r="AQ19" s="190"/>
      <c r="AR19" s="190"/>
      <c r="AS19" s="190"/>
      <c r="AT19" s="428">
        <f t="shared" si="16"/>
        <v>0</v>
      </c>
      <c r="AU19" s="714">
        <f>'t1'!AQ19</f>
        <v>0</v>
      </c>
      <c r="CA19" s="895" t="s">
        <v>474</v>
      </c>
    </row>
    <row r="20" spans="1:79" ht="12.75" customHeight="1" x14ac:dyDescent="0.2">
      <c r="A20" s="135" t="str">
        <f>'t1'!A20</f>
        <v>ALTRI PROF.STI</v>
      </c>
      <c r="B20" s="201" t="str">
        <f>'t1'!B20</f>
        <v>0D0075</v>
      </c>
      <c r="C20" s="739">
        <f t="shared" si="17"/>
        <v>0</v>
      </c>
      <c r="D20" s="739">
        <f t="shared" si="0"/>
        <v>0</v>
      </c>
      <c r="E20" s="739">
        <f t="shared" si="1"/>
        <v>0</v>
      </c>
      <c r="F20" s="740">
        <f t="shared" si="2"/>
        <v>0</v>
      </c>
      <c r="G20" s="740">
        <f t="shared" si="18"/>
        <v>0</v>
      </c>
      <c r="H20" s="740">
        <f t="shared" si="19"/>
        <v>0</v>
      </c>
      <c r="I20" s="740">
        <f t="shared" si="3"/>
        <v>0</v>
      </c>
      <c r="J20" s="740">
        <f t="shared" si="4"/>
        <v>0</v>
      </c>
      <c r="K20" s="740">
        <f t="shared" si="5"/>
        <v>0</v>
      </c>
      <c r="L20" s="740">
        <f t="shared" si="6"/>
        <v>0</v>
      </c>
      <c r="M20" s="740">
        <f t="shared" si="7"/>
        <v>0</v>
      </c>
      <c r="N20" s="740">
        <f t="shared" si="8"/>
        <v>0</v>
      </c>
      <c r="O20" s="740">
        <f t="shared" si="9"/>
        <v>0</v>
      </c>
      <c r="P20" s="740">
        <f t="shared" si="9"/>
        <v>0</v>
      </c>
      <c r="Q20" s="740">
        <f t="shared" si="10"/>
        <v>0</v>
      </c>
      <c r="R20" s="740">
        <f t="shared" si="11"/>
        <v>0</v>
      </c>
      <c r="S20" s="740">
        <f t="shared" si="12"/>
        <v>0</v>
      </c>
      <c r="T20" s="740">
        <f t="shared" si="13"/>
        <v>0</v>
      </c>
      <c r="U20" s="740">
        <f t="shared" si="14"/>
        <v>0</v>
      </c>
      <c r="V20" s="428">
        <f t="shared" si="15"/>
        <v>0</v>
      </c>
      <c r="W20" s="714">
        <f>'t1'!M20</f>
        <v>0</v>
      </c>
      <c r="AA20" s="189"/>
      <c r="AB20" s="189"/>
      <c r="AC20" s="189"/>
      <c r="AD20" s="190"/>
      <c r="AE20" s="190"/>
      <c r="AF20" s="190"/>
      <c r="AG20" s="190"/>
      <c r="AH20" s="190"/>
      <c r="AI20" s="190"/>
      <c r="AJ20" s="190"/>
      <c r="AK20" s="190"/>
      <c r="AL20" s="190"/>
      <c r="AM20" s="190"/>
      <c r="AN20" s="190"/>
      <c r="AO20" s="190"/>
      <c r="AP20" s="190"/>
      <c r="AQ20" s="190"/>
      <c r="AR20" s="190"/>
      <c r="AS20" s="190"/>
      <c r="AT20" s="428">
        <f t="shared" si="16"/>
        <v>0</v>
      </c>
      <c r="AU20" s="714">
        <f>'t1'!AQ20</f>
        <v>0</v>
      </c>
      <c r="CA20" s="895" t="s">
        <v>474</v>
      </c>
    </row>
    <row r="21" spans="1:79" ht="12.75" customHeight="1" x14ac:dyDescent="0.2">
      <c r="A21" s="135" t="str">
        <f>'t1'!A21</f>
        <v>ELEVATE PROFESSIONALITA'</v>
      </c>
      <c r="B21" s="201" t="str">
        <f>'t1'!B21</f>
        <v>0EP981</v>
      </c>
      <c r="C21" s="739">
        <f t="shared" ref="C21:L25" si="20">ROUND(AA21,0)</f>
        <v>0</v>
      </c>
      <c r="D21" s="739">
        <f t="shared" si="20"/>
        <v>0</v>
      </c>
      <c r="E21" s="739">
        <f t="shared" si="20"/>
        <v>0</v>
      </c>
      <c r="F21" s="740">
        <f t="shared" si="20"/>
        <v>0</v>
      </c>
      <c r="G21" s="740">
        <f t="shared" si="20"/>
        <v>0</v>
      </c>
      <c r="H21" s="740">
        <f t="shared" si="20"/>
        <v>0</v>
      </c>
      <c r="I21" s="740">
        <f t="shared" si="20"/>
        <v>0</v>
      </c>
      <c r="J21" s="740">
        <f t="shared" si="20"/>
        <v>0</v>
      </c>
      <c r="K21" s="740">
        <f t="shared" si="20"/>
        <v>0</v>
      </c>
      <c r="L21" s="740">
        <f t="shared" si="20"/>
        <v>0</v>
      </c>
      <c r="M21" s="740">
        <f t="shared" si="7"/>
        <v>0</v>
      </c>
      <c r="N21" s="740">
        <f t="shared" si="8"/>
        <v>0</v>
      </c>
      <c r="O21" s="740">
        <f t="shared" si="9"/>
        <v>0</v>
      </c>
      <c r="P21" s="740">
        <f t="shared" si="9"/>
        <v>0</v>
      </c>
      <c r="Q21" s="740">
        <f t="shared" si="10"/>
        <v>0</v>
      </c>
      <c r="R21" s="740">
        <f t="shared" si="11"/>
        <v>0</v>
      </c>
      <c r="S21" s="740">
        <f t="shared" si="12"/>
        <v>0</v>
      </c>
      <c r="T21" s="740">
        <f t="shared" si="13"/>
        <v>0</v>
      </c>
      <c r="U21" s="740">
        <f t="shared" si="14"/>
        <v>0</v>
      </c>
      <c r="V21" s="428">
        <f t="shared" si="15"/>
        <v>0</v>
      </c>
      <c r="W21" s="714">
        <f>'t1'!M21</f>
        <v>0</v>
      </c>
      <c r="AA21" s="189"/>
      <c r="AB21" s="189"/>
      <c r="AC21" s="189"/>
      <c r="AD21" s="190"/>
      <c r="AE21" s="190"/>
      <c r="AF21" s="190"/>
      <c r="AG21" s="190"/>
      <c r="AH21" s="190"/>
      <c r="AI21" s="190"/>
      <c r="AJ21" s="190"/>
      <c r="AK21" s="190"/>
      <c r="AL21" s="190"/>
      <c r="AM21" s="190"/>
      <c r="AN21" s="190"/>
      <c r="AO21" s="190"/>
      <c r="AP21" s="190"/>
      <c r="AQ21" s="190"/>
      <c r="AR21" s="190"/>
      <c r="AS21" s="190"/>
      <c r="AT21" s="428">
        <f t="shared" si="16"/>
        <v>0</v>
      </c>
      <c r="AU21" s="714">
        <f>'t1'!AQ21</f>
        <v>0</v>
      </c>
      <c r="CA21" s="895" t="s">
        <v>267</v>
      </c>
    </row>
    <row r="22" spans="1:79" ht="12.75" customHeight="1" x14ac:dyDescent="0.2">
      <c r="A22" s="135" t="str">
        <f>'t1'!A22</f>
        <v>FUNZIONARI</v>
      </c>
      <c r="B22" s="201" t="str">
        <f>'t1'!B22</f>
        <v>0FZ000</v>
      </c>
      <c r="C22" s="739">
        <f t="shared" si="20"/>
        <v>0</v>
      </c>
      <c r="D22" s="739">
        <f t="shared" si="20"/>
        <v>0</v>
      </c>
      <c r="E22" s="739">
        <f t="shared" si="20"/>
        <v>0</v>
      </c>
      <c r="F22" s="740">
        <f t="shared" si="20"/>
        <v>0</v>
      </c>
      <c r="G22" s="740">
        <f t="shared" si="20"/>
        <v>0</v>
      </c>
      <c r="H22" s="740">
        <f t="shared" si="20"/>
        <v>0</v>
      </c>
      <c r="I22" s="740">
        <f t="shared" si="20"/>
        <v>0</v>
      </c>
      <c r="J22" s="740">
        <f t="shared" si="20"/>
        <v>0</v>
      </c>
      <c r="K22" s="740">
        <f t="shared" si="20"/>
        <v>0</v>
      </c>
      <c r="L22" s="740">
        <f t="shared" si="20"/>
        <v>0</v>
      </c>
      <c r="M22" s="740">
        <f t="shared" si="7"/>
        <v>0</v>
      </c>
      <c r="N22" s="740">
        <f t="shared" si="8"/>
        <v>0</v>
      </c>
      <c r="O22" s="740">
        <f t="shared" si="9"/>
        <v>0</v>
      </c>
      <c r="P22" s="740">
        <f t="shared" si="9"/>
        <v>0</v>
      </c>
      <c r="Q22" s="740">
        <f t="shared" si="10"/>
        <v>0</v>
      </c>
      <c r="R22" s="740">
        <f t="shared" si="11"/>
        <v>0</v>
      </c>
      <c r="S22" s="740">
        <f t="shared" si="12"/>
        <v>0</v>
      </c>
      <c r="T22" s="740">
        <f t="shared" si="13"/>
        <v>0</v>
      </c>
      <c r="U22" s="740">
        <f t="shared" si="14"/>
        <v>0</v>
      </c>
      <c r="V22" s="428">
        <f t="shared" si="15"/>
        <v>0</v>
      </c>
      <c r="W22" s="714">
        <f>'t1'!M22</f>
        <v>0</v>
      </c>
      <c r="AA22" s="189"/>
      <c r="AB22" s="189"/>
      <c r="AC22" s="189"/>
      <c r="AD22" s="190"/>
      <c r="AE22" s="190"/>
      <c r="AF22" s="190"/>
      <c r="AG22" s="190"/>
      <c r="AH22" s="190"/>
      <c r="AI22" s="190"/>
      <c r="AJ22" s="190"/>
      <c r="AK22" s="190"/>
      <c r="AL22" s="190"/>
      <c r="AM22" s="190"/>
      <c r="AN22" s="190"/>
      <c r="AO22" s="190"/>
      <c r="AP22" s="190"/>
      <c r="AQ22" s="190"/>
      <c r="AR22" s="190"/>
      <c r="AS22" s="190"/>
      <c r="AT22" s="428">
        <f t="shared" si="16"/>
        <v>0</v>
      </c>
      <c r="AU22" s="714">
        <f>'t1'!AQ22</f>
        <v>0</v>
      </c>
      <c r="CA22" s="895" t="s">
        <v>267</v>
      </c>
    </row>
    <row r="23" spans="1:79" ht="12.75" customHeight="1" x14ac:dyDescent="0.2">
      <c r="A23" s="135" t="str">
        <f>'t1'!A23</f>
        <v>ASSISTENTI</v>
      </c>
      <c r="B23" s="201" t="str">
        <f>'t1'!B23</f>
        <v>0AS000</v>
      </c>
      <c r="C23" s="739">
        <f t="shared" si="20"/>
        <v>0</v>
      </c>
      <c r="D23" s="739">
        <f t="shared" si="20"/>
        <v>0</v>
      </c>
      <c r="E23" s="739">
        <f t="shared" si="20"/>
        <v>0</v>
      </c>
      <c r="F23" s="740">
        <f t="shared" si="20"/>
        <v>0</v>
      </c>
      <c r="G23" s="740">
        <f t="shared" si="20"/>
        <v>0</v>
      </c>
      <c r="H23" s="740">
        <f t="shared" si="20"/>
        <v>0</v>
      </c>
      <c r="I23" s="740">
        <f t="shared" si="20"/>
        <v>0</v>
      </c>
      <c r="J23" s="740">
        <f t="shared" si="20"/>
        <v>0</v>
      </c>
      <c r="K23" s="740">
        <f t="shared" si="20"/>
        <v>0</v>
      </c>
      <c r="L23" s="740">
        <f t="shared" si="20"/>
        <v>0</v>
      </c>
      <c r="M23" s="740">
        <f t="shared" si="7"/>
        <v>0</v>
      </c>
      <c r="N23" s="740">
        <f t="shared" si="8"/>
        <v>0</v>
      </c>
      <c r="O23" s="740">
        <f t="shared" si="9"/>
        <v>0</v>
      </c>
      <c r="P23" s="740">
        <f t="shared" si="9"/>
        <v>0</v>
      </c>
      <c r="Q23" s="740">
        <f t="shared" si="10"/>
        <v>0</v>
      </c>
      <c r="R23" s="740">
        <f t="shared" si="11"/>
        <v>0</v>
      </c>
      <c r="S23" s="740">
        <f t="shared" si="12"/>
        <v>0</v>
      </c>
      <c r="T23" s="740">
        <f t="shared" si="13"/>
        <v>0</v>
      </c>
      <c r="U23" s="740">
        <f t="shared" si="14"/>
        <v>0</v>
      </c>
      <c r="V23" s="428">
        <f t="shared" si="15"/>
        <v>0</v>
      </c>
      <c r="W23" s="714">
        <f>'t1'!M23</f>
        <v>0</v>
      </c>
      <c r="AA23" s="189"/>
      <c r="AB23" s="189"/>
      <c r="AC23" s="189"/>
      <c r="AD23" s="190"/>
      <c r="AE23" s="190"/>
      <c r="AF23" s="190"/>
      <c r="AG23" s="190"/>
      <c r="AH23" s="190"/>
      <c r="AI23" s="190"/>
      <c r="AJ23" s="190"/>
      <c r="AK23" s="190"/>
      <c r="AL23" s="190"/>
      <c r="AM23" s="190"/>
      <c r="AN23" s="190"/>
      <c r="AO23" s="190"/>
      <c r="AP23" s="190"/>
      <c r="AQ23" s="190"/>
      <c r="AR23" s="190"/>
      <c r="AS23" s="190"/>
      <c r="AT23" s="428">
        <f t="shared" si="16"/>
        <v>0</v>
      </c>
      <c r="AU23" s="714">
        <f>'t1'!AQ23</f>
        <v>0</v>
      </c>
      <c r="CA23" s="895" t="s">
        <v>267</v>
      </c>
    </row>
    <row r="24" spans="1:79" ht="12.75" customHeight="1" x14ac:dyDescent="0.2">
      <c r="A24" s="135" t="str">
        <f>'t1'!A24</f>
        <v>OPERATORI</v>
      </c>
      <c r="B24" s="201" t="str">
        <f>'t1'!B24</f>
        <v>0OP000</v>
      </c>
      <c r="C24" s="739">
        <f t="shared" si="20"/>
        <v>0</v>
      </c>
      <c r="D24" s="739">
        <f t="shared" si="20"/>
        <v>0</v>
      </c>
      <c r="E24" s="739">
        <f t="shared" si="20"/>
        <v>0</v>
      </c>
      <c r="F24" s="740">
        <f t="shared" si="20"/>
        <v>0</v>
      </c>
      <c r="G24" s="740">
        <f t="shared" si="20"/>
        <v>0</v>
      </c>
      <c r="H24" s="740">
        <f t="shared" si="20"/>
        <v>0</v>
      </c>
      <c r="I24" s="740">
        <f t="shared" si="20"/>
        <v>0</v>
      </c>
      <c r="J24" s="740">
        <f t="shared" si="20"/>
        <v>0</v>
      </c>
      <c r="K24" s="740">
        <f t="shared" si="20"/>
        <v>0</v>
      </c>
      <c r="L24" s="740">
        <f t="shared" si="20"/>
        <v>0</v>
      </c>
      <c r="M24" s="740">
        <f t="shared" si="7"/>
        <v>0</v>
      </c>
      <c r="N24" s="740">
        <f t="shared" si="8"/>
        <v>0</v>
      </c>
      <c r="O24" s="740">
        <f t="shared" si="9"/>
        <v>0</v>
      </c>
      <c r="P24" s="740">
        <f t="shared" si="9"/>
        <v>0</v>
      </c>
      <c r="Q24" s="740">
        <f t="shared" si="10"/>
        <v>0</v>
      </c>
      <c r="R24" s="740">
        <f t="shared" si="11"/>
        <v>0</v>
      </c>
      <c r="S24" s="740">
        <f t="shared" si="12"/>
        <v>0</v>
      </c>
      <c r="T24" s="740">
        <f t="shared" si="13"/>
        <v>0</v>
      </c>
      <c r="U24" s="740">
        <f t="shared" si="14"/>
        <v>0</v>
      </c>
      <c r="V24" s="428">
        <f t="shared" si="15"/>
        <v>0</v>
      </c>
      <c r="W24" s="714">
        <f>'t1'!M24</f>
        <v>0</v>
      </c>
      <c r="AA24" s="189"/>
      <c r="AB24" s="189"/>
      <c r="AC24" s="189"/>
      <c r="AD24" s="190"/>
      <c r="AE24" s="190"/>
      <c r="AF24" s="190"/>
      <c r="AG24" s="190"/>
      <c r="AH24" s="190"/>
      <c r="AI24" s="190"/>
      <c r="AJ24" s="190"/>
      <c r="AK24" s="190"/>
      <c r="AL24" s="190"/>
      <c r="AM24" s="190"/>
      <c r="AN24" s="190"/>
      <c r="AO24" s="190"/>
      <c r="AP24" s="190"/>
      <c r="AQ24" s="190"/>
      <c r="AR24" s="190"/>
      <c r="AS24" s="190"/>
      <c r="AT24" s="428">
        <f t="shared" si="16"/>
        <v>0</v>
      </c>
      <c r="AU24" s="714">
        <f>'t1'!AQ24</f>
        <v>0</v>
      </c>
      <c r="CA24" s="895" t="s">
        <v>267</v>
      </c>
    </row>
    <row r="25" spans="1:79" ht="12.75" customHeight="1" thickBot="1" x14ac:dyDescent="0.25">
      <c r="A25" s="135" t="str">
        <f>'t1'!A25</f>
        <v>CONTRATTISTI</v>
      </c>
      <c r="B25" s="201" t="str">
        <f>'t1'!B25</f>
        <v>000061</v>
      </c>
      <c r="C25" s="739">
        <f t="shared" si="20"/>
        <v>0</v>
      </c>
      <c r="D25" s="739">
        <f t="shared" si="20"/>
        <v>0</v>
      </c>
      <c r="E25" s="739">
        <f t="shared" si="20"/>
        <v>0</v>
      </c>
      <c r="F25" s="740">
        <f t="shared" si="20"/>
        <v>0</v>
      </c>
      <c r="G25" s="740">
        <f t="shared" si="20"/>
        <v>0</v>
      </c>
      <c r="H25" s="740">
        <f t="shared" si="20"/>
        <v>0</v>
      </c>
      <c r="I25" s="740">
        <f t="shared" si="20"/>
        <v>0</v>
      </c>
      <c r="J25" s="740">
        <f t="shared" si="20"/>
        <v>0</v>
      </c>
      <c r="K25" s="740">
        <f t="shared" si="20"/>
        <v>0</v>
      </c>
      <c r="L25" s="740">
        <f t="shared" si="20"/>
        <v>0</v>
      </c>
      <c r="M25" s="740">
        <f t="shared" si="7"/>
        <v>0</v>
      </c>
      <c r="N25" s="740">
        <f t="shared" si="8"/>
        <v>0</v>
      </c>
      <c r="O25" s="740">
        <f t="shared" si="9"/>
        <v>0</v>
      </c>
      <c r="P25" s="740">
        <f t="shared" si="9"/>
        <v>0</v>
      </c>
      <c r="Q25" s="740">
        <f t="shared" si="10"/>
        <v>0</v>
      </c>
      <c r="R25" s="740">
        <f t="shared" si="11"/>
        <v>0</v>
      </c>
      <c r="S25" s="740">
        <f t="shared" si="12"/>
        <v>0</v>
      </c>
      <c r="T25" s="740">
        <f t="shared" si="13"/>
        <v>0</v>
      </c>
      <c r="U25" s="740">
        <f t="shared" si="14"/>
        <v>0</v>
      </c>
      <c r="V25" s="428">
        <f t="shared" si="15"/>
        <v>0</v>
      </c>
      <c r="W25" s="714">
        <f>'t1'!M25</f>
        <v>0</v>
      </c>
      <c r="AA25" s="189"/>
      <c r="AB25" s="189"/>
      <c r="AC25" s="189"/>
      <c r="AD25" s="190"/>
      <c r="AE25" s="190"/>
      <c r="AF25" s="190"/>
      <c r="AG25" s="190"/>
      <c r="AH25" s="190"/>
      <c r="AI25" s="190"/>
      <c r="AJ25" s="190"/>
      <c r="AK25" s="190"/>
      <c r="AL25" s="190"/>
      <c r="AM25" s="190"/>
      <c r="AN25" s="190"/>
      <c r="AO25" s="190"/>
      <c r="AP25" s="190"/>
      <c r="AQ25" s="190"/>
      <c r="AR25" s="190"/>
      <c r="AS25" s="190"/>
      <c r="AT25" s="428">
        <f t="shared" si="16"/>
        <v>0</v>
      </c>
      <c r="AU25" s="714">
        <f>'t1'!AQ25</f>
        <v>0</v>
      </c>
      <c r="CA25" s="895" t="s">
        <v>267</v>
      </c>
    </row>
    <row r="26" spans="1:79" ht="15" customHeight="1" thickTop="1" thickBot="1" x14ac:dyDescent="0.25">
      <c r="A26" s="143" t="s">
        <v>60</v>
      </c>
      <c r="B26" s="108"/>
      <c r="C26" s="427">
        <f t="shared" ref="C26:V26" si="21">SUM(C6:C25)</f>
        <v>0</v>
      </c>
      <c r="D26" s="427">
        <f t="shared" si="21"/>
        <v>0</v>
      </c>
      <c r="E26" s="427">
        <f t="shared" si="21"/>
        <v>0</v>
      </c>
      <c r="F26" s="427">
        <f t="shared" si="21"/>
        <v>0</v>
      </c>
      <c r="G26" s="427">
        <f t="shared" si="21"/>
        <v>0</v>
      </c>
      <c r="H26" s="427">
        <f t="shared" si="21"/>
        <v>0</v>
      </c>
      <c r="I26" s="427">
        <f t="shared" si="21"/>
        <v>0</v>
      </c>
      <c r="J26" s="427">
        <f t="shared" si="21"/>
        <v>0</v>
      </c>
      <c r="K26" s="427">
        <f t="shared" si="21"/>
        <v>0</v>
      </c>
      <c r="L26" s="427">
        <f t="shared" si="21"/>
        <v>0</v>
      </c>
      <c r="M26" s="427">
        <f t="shared" si="21"/>
        <v>0</v>
      </c>
      <c r="N26" s="427">
        <f t="shared" si="21"/>
        <v>0</v>
      </c>
      <c r="O26" s="427">
        <f t="shared" si="21"/>
        <v>0</v>
      </c>
      <c r="P26" s="427">
        <f t="shared" ref="P26" si="22">SUM(P6:P25)</f>
        <v>0</v>
      </c>
      <c r="Q26" s="427">
        <f t="shared" si="21"/>
        <v>0</v>
      </c>
      <c r="R26" s="427">
        <f t="shared" si="21"/>
        <v>0</v>
      </c>
      <c r="S26" s="427">
        <f t="shared" si="21"/>
        <v>0</v>
      </c>
      <c r="T26" s="427">
        <f t="shared" si="21"/>
        <v>0</v>
      </c>
      <c r="U26" s="427">
        <f t="shared" si="21"/>
        <v>0</v>
      </c>
      <c r="V26" s="427">
        <f t="shared" si="21"/>
        <v>0</v>
      </c>
      <c r="AA26" s="427">
        <f t="shared" ref="AA26:AT26" si="23">SUM(AA6:AA25)</f>
        <v>0</v>
      </c>
      <c r="AB26" s="427">
        <f t="shared" si="23"/>
        <v>0</v>
      </c>
      <c r="AC26" s="427">
        <f t="shared" si="23"/>
        <v>0</v>
      </c>
      <c r="AD26" s="427">
        <f t="shared" si="23"/>
        <v>0</v>
      </c>
      <c r="AE26" s="427">
        <f t="shared" si="23"/>
        <v>0</v>
      </c>
      <c r="AF26" s="427">
        <f t="shared" si="23"/>
        <v>0</v>
      </c>
      <c r="AG26" s="427">
        <f t="shared" si="23"/>
        <v>0</v>
      </c>
      <c r="AH26" s="427">
        <f t="shared" si="23"/>
        <v>0</v>
      </c>
      <c r="AI26" s="427">
        <f t="shared" si="23"/>
        <v>0</v>
      </c>
      <c r="AJ26" s="427">
        <f t="shared" si="23"/>
        <v>0</v>
      </c>
      <c r="AK26" s="427">
        <f t="shared" si="23"/>
        <v>0</v>
      </c>
      <c r="AL26" s="427">
        <f t="shared" si="23"/>
        <v>0</v>
      </c>
      <c r="AM26" s="427">
        <f t="shared" si="23"/>
        <v>0</v>
      </c>
      <c r="AN26" s="427">
        <f t="shared" ref="AN26" si="24">SUM(AN6:AN25)</f>
        <v>0</v>
      </c>
      <c r="AO26" s="427">
        <f t="shared" si="23"/>
        <v>0</v>
      </c>
      <c r="AP26" s="427">
        <f t="shared" si="23"/>
        <v>0</v>
      </c>
      <c r="AQ26" s="427">
        <f t="shared" si="23"/>
        <v>0</v>
      </c>
      <c r="AR26" s="427">
        <f t="shared" si="23"/>
        <v>0</v>
      </c>
      <c r="AS26" s="427">
        <f t="shared" si="23"/>
        <v>0</v>
      </c>
      <c r="AT26" s="427">
        <f t="shared" si="23"/>
        <v>0</v>
      </c>
    </row>
    <row r="27" spans="1:79" x14ac:dyDescent="0.2">
      <c r="A27" s="18" t="str">
        <f>'t1'!$A$27</f>
        <v>(a) personale a tempo indeterminato al quale viene applicato un contratto di lavoro di tipo privatistico (es.:tipografico,chimico,edile,metalmeccanico,portierato, ecc.)</v>
      </c>
      <c r="V27" s="36"/>
      <c r="W27" s="36"/>
      <c r="X27" s="36"/>
      <c r="Y27" s="36"/>
      <c r="Z27" s="36"/>
      <c r="AT27" s="36"/>
      <c r="AU27" s="36"/>
      <c r="AV27" s="36"/>
      <c r="AW27" s="36"/>
    </row>
    <row r="28" spans="1:79" x14ac:dyDescent="0.2">
      <c r="A28" s="18"/>
    </row>
    <row r="29" spans="1:79" x14ac:dyDescent="0.2">
      <c r="A29" s="3" t="s">
        <v>168</v>
      </c>
      <c r="B29" s="53"/>
      <c r="C29" s="51"/>
      <c r="D29" s="51"/>
      <c r="E29" s="51"/>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row>
    <row r="30" spans="1:79" x14ac:dyDescent="0.2">
      <c r="A30" s="4"/>
    </row>
    <row r="31" spans="1:79" x14ac:dyDescent="0.2">
      <c r="A31" s="4"/>
    </row>
  </sheetData>
  <sheetProtection algorithmName="SHA-512" hashValue="k/tXMlTUXmFPgKSA2M5YSmVCuKUZrCtmZvqBHs+9VM8Gzoex+IOnCnv9SDXyxewPt9sHFV6ss+K0F5Xt5ufrnA==" saltValue="aFdsn1Bs7s5pThuTKLA+Kw==" spinCount="100000" sheet="1" formatColumns="0" selectLockedCells="1"/>
  <mergeCells count="1">
    <mergeCell ref="A1:AT1"/>
  </mergeCells>
  <phoneticPr fontId="30" type="noConversion"/>
  <conditionalFormatting sqref="A6:V25 AA6:AT25">
    <cfRule type="expression" dxfId="35" priority="4" stopIfTrue="1">
      <formula>$W6&gt;0</formula>
    </cfRule>
  </conditionalFormatting>
  <dataValidations count="1">
    <dataValidation type="whole" allowBlank="1" showInputMessage="1" showErrorMessage="1" errorTitle="ERRORE NEL DATO IMMESSO" error="INSERIRE SOLO NUMERI INTERI" sqref="AA6:AS25" xr:uid="{00000000-0002-0000-1000-000000000000}">
      <formula1>1</formula1>
      <formula2>999999999999</formula2>
    </dataValidation>
  </dataValidations>
  <printOptions horizontalCentered="1" verticalCentered="1"/>
  <pageMargins left="0" right="0" top="0.15748031496062992" bottom="0.15748031496062992" header="0.19685039370078741" footer="0.19685039370078741"/>
  <pageSetup paperSize="9" scale="75" orientation="landscape" horizontalDpi="300" verticalDpi="4294967292" r:id="rId1"/>
  <headerFooter alignWithMargins="0"/>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oglio21"/>
  <dimension ref="A1:N38"/>
  <sheetViews>
    <sheetView showGridLines="0" workbookViewId="0">
      <pane ySplit="3" topLeftCell="A6" activePane="bottomLeft" state="frozen"/>
      <selection activeCell="C4" sqref="C4:C6"/>
      <selection pane="bottomLeft" activeCell="D6" sqref="D6"/>
    </sheetView>
  </sheetViews>
  <sheetFormatPr defaultRowHeight="10.199999999999999" x14ac:dyDescent="0.2"/>
  <cols>
    <col min="1" max="1" width="87.7109375" customWidth="1"/>
    <col min="2" max="2" width="18" customWidth="1"/>
    <col min="3" max="3" width="18" hidden="1" customWidth="1"/>
    <col min="4" max="4" width="17.7109375" customWidth="1"/>
    <col min="5" max="5" width="8.7109375" customWidth="1"/>
    <col min="6" max="6" width="12.140625" customWidth="1"/>
    <col min="7" max="7" width="3.140625" hidden="1" customWidth="1"/>
  </cols>
  <sheetData>
    <row r="1" spans="1:14" s="3" customFormat="1" ht="43.5" customHeight="1" x14ac:dyDescent="0.2">
      <c r="A1" s="1463" t="str">
        <f>'t1'!A1</f>
        <v>ENTI PUBBLICI NON ECONOMICI - anno 2023</v>
      </c>
      <c r="B1" s="1463"/>
      <c r="C1" s="1463"/>
      <c r="D1" s="1463"/>
      <c r="H1" s="4"/>
      <c r="N1"/>
    </row>
    <row r="2" spans="1:14" ht="30" customHeight="1" thickBot="1" x14ac:dyDescent="0.25">
      <c r="A2" s="5"/>
      <c r="B2" s="1557" t="str">
        <f>IF(AND(A32="",(D26+D27+D28+D29)&gt;0),"ATTENZIONE!  Inserire nel campo NOTE l'elenco delle Istituzioni ed il relativo importo dei rimborsi",IF(AND(A32&lt;&gt;"",(D26+D27+D28+D29)=0),"ATTENZIONE!  il campo NOTE non deve essere compilato in assenza di rimborsi",""))</f>
        <v/>
      </c>
      <c r="C2" s="1557"/>
      <c r="D2" s="1557"/>
    </row>
    <row r="3" spans="1:14" ht="21.75" customHeight="1" thickBot="1" x14ac:dyDescent="0.25">
      <c r="A3" s="97" t="s">
        <v>115</v>
      </c>
      <c r="B3" s="273" t="s">
        <v>88</v>
      </c>
      <c r="C3" s="741"/>
      <c r="D3" s="274" t="s">
        <v>90</v>
      </c>
    </row>
    <row r="4" spans="1:14" s="99" customFormat="1" ht="23.25" customHeight="1" thickTop="1" x14ac:dyDescent="0.25">
      <c r="A4" s="98" t="s">
        <v>138</v>
      </c>
      <c r="B4" s="150" t="s">
        <v>142</v>
      </c>
      <c r="C4" s="750">
        <f>ROUND(D4,0)</f>
        <v>0</v>
      </c>
      <c r="D4" s="191"/>
    </row>
    <row r="5" spans="1:14" s="99" customFormat="1" ht="23.25" customHeight="1" x14ac:dyDescent="0.25">
      <c r="A5" s="101" t="s">
        <v>357</v>
      </c>
      <c r="B5" s="151" t="s">
        <v>153</v>
      </c>
      <c r="C5" s="743">
        <f t="shared" ref="C5:C29" si="0">ROUND(D5,0)</f>
        <v>0</v>
      </c>
      <c r="D5" s="191"/>
    </row>
    <row r="6" spans="1:14" s="99" customFormat="1" ht="23.25" customHeight="1" x14ac:dyDescent="0.25">
      <c r="A6" s="101" t="s">
        <v>132</v>
      </c>
      <c r="B6" s="140" t="s">
        <v>154</v>
      </c>
      <c r="C6" s="742">
        <f t="shared" si="0"/>
        <v>0</v>
      </c>
      <c r="D6" s="191"/>
    </row>
    <row r="7" spans="1:14" s="99" customFormat="1" ht="23.25" customHeight="1" x14ac:dyDescent="0.25">
      <c r="A7" s="101" t="s">
        <v>136</v>
      </c>
      <c r="B7" s="152" t="s">
        <v>155</v>
      </c>
      <c r="C7" s="743">
        <f t="shared" si="0"/>
        <v>0</v>
      </c>
      <c r="D7" s="191"/>
    </row>
    <row r="8" spans="1:14" s="99" customFormat="1" ht="23.25" customHeight="1" x14ac:dyDescent="0.25">
      <c r="A8" s="102" t="s">
        <v>135</v>
      </c>
      <c r="B8" s="140" t="s">
        <v>156</v>
      </c>
      <c r="C8" s="742">
        <f t="shared" si="0"/>
        <v>0</v>
      </c>
      <c r="D8" s="191"/>
    </row>
    <row r="9" spans="1:14" s="99" customFormat="1" ht="23.25" customHeight="1" x14ac:dyDescent="0.25">
      <c r="A9" s="120" t="s">
        <v>134</v>
      </c>
      <c r="B9" s="152" t="s">
        <v>157</v>
      </c>
      <c r="C9" s="743">
        <f t="shared" si="0"/>
        <v>0</v>
      </c>
      <c r="D9" s="192"/>
    </row>
    <row r="10" spans="1:14" s="99" customFormat="1" ht="23.25" customHeight="1" x14ac:dyDescent="0.25">
      <c r="A10" s="153" t="s">
        <v>358</v>
      </c>
      <c r="B10" s="140" t="s">
        <v>146</v>
      </c>
      <c r="C10" s="742">
        <f t="shared" si="0"/>
        <v>0</v>
      </c>
      <c r="D10" s="191"/>
    </row>
    <row r="11" spans="1:14" s="99" customFormat="1" ht="23.25" customHeight="1" x14ac:dyDescent="0.25">
      <c r="A11" s="102" t="s">
        <v>158</v>
      </c>
      <c r="B11" s="139" t="s">
        <v>159</v>
      </c>
      <c r="C11" s="742">
        <f t="shared" si="0"/>
        <v>0</v>
      </c>
      <c r="D11" s="191"/>
    </row>
    <row r="12" spans="1:14" s="99" customFormat="1" ht="23.25" customHeight="1" x14ac:dyDescent="0.25">
      <c r="A12" s="1351" t="s">
        <v>1115</v>
      </c>
      <c r="B12" s="664" t="s">
        <v>1117</v>
      </c>
      <c r="C12" s="742">
        <f t="shared" si="0"/>
        <v>0</v>
      </c>
      <c r="D12" s="191"/>
    </row>
    <row r="13" spans="1:14" s="99" customFormat="1" ht="23.25" customHeight="1" x14ac:dyDescent="0.25">
      <c r="A13" s="1351" t="s">
        <v>1116</v>
      </c>
      <c r="B13" s="1350" t="s">
        <v>1118</v>
      </c>
      <c r="C13" s="742">
        <f t="shared" si="0"/>
        <v>0</v>
      </c>
      <c r="D13" s="191"/>
    </row>
    <row r="14" spans="1:14" s="99" customFormat="1" ht="23.25" customHeight="1" x14ac:dyDescent="0.25">
      <c r="A14" s="102" t="s">
        <v>2</v>
      </c>
      <c r="B14" s="140" t="s">
        <v>3</v>
      </c>
      <c r="C14" s="742">
        <f t="shared" si="0"/>
        <v>0</v>
      </c>
      <c r="D14" s="191"/>
    </row>
    <row r="15" spans="1:14" s="99" customFormat="1" ht="23.25" customHeight="1" x14ac:dyDescent="0.25">
      <c r="A15" s="120" t="s">
        <v>92</v>
      </c>
      <c r="B15" s="152" t="s">
        <v>160</v>
      </c>
      <c r="C15" s="743">
        <f t="shared" si="0"/>
        <v>0</v>
      </c>
      <c r="D15" s="192"/>
    </row>
    <row r="16" spans="1:14" s="99" customFormat="1" ht="23.25" customHeight="1" x14ac:dyDescent="0.25">
      <c r="A16" s="153" t="s">
        <v>359</v>
      </c>
      <c r="B16" s="151" t="s">
        <v>143</v>
      </c>
      <c r="C16" s="744">
        <f t="shared" si="0"/>
        <v>0</v>
      </c>
      <c r="D16" s="192"/>
    </row>
    <row r="17" spans="1:8" s="99" customFormat="1" ht="23.25" customHeight="1" x14ac:dyDescent="0.25">
      <c r="A17" s="103" t="s">
        <v>360</v>
      </c>
      <c r="B17" s="140" t="s">
        <v>144</v>
      </c>
      <c r="C17" s="742">
        <f t="shared" si="0"/>
        <v>0</v>
      </c>
      <c r="D17" s="191"/>
    </row>
    <row r="18" spans="1:8" ht="23.25" customHeight="1" x14ac:dyDescent="0.25">
      <c r="A18" s="100" t="s">
        <v>133</v>
      </c>
      <c r="B18" s="139" t="s">
        <v>152</v>
      </c>
      <c r="C18" s="742">
        <f t="shared" si="0"/>
        <v>0</v>
      </c>
      <c r="D18" s="192"/>
    </row>
    <row r="19" spans="1:8" ht="23.25" customHeight="1" x14ac:dyDescent="0.25">
      <c r="A19" s="665" t="s">
        <v>572</v>
      </c>
      <c r="B19" s="664" t="s">
        <v>571</v>
      </c>
      <c r="C19" s="745">
        <f t="shared" si="0"/>
        <v>0</v>
      </c>
      <c r="D19" s="191"/>
    </row>
    <row r="20" spans="1:8" s="3" customFormat="1" ht="23.25" customHeight="1" x14ac:dyDescent="0.25">
      <c r="A20" s="665" t="s">
        <v>361</v>
      </c>
      <c r="B20" s="140" t="s">
        <v>148</v>
      </c>
      <c r="C20" s="742">
        <f t="shared" si="0"/>
        <v>0</v>
      </c>
      <c r="D20" s="191"/>
      <c r="G20" s="3" t="s">
        <v>573</v>
      </c>
    </row>
    <row r="21" spans="1:8" ht="23.25" customHeight="1" x14ac:dyDescent="0.25">
      <c r="A21" s="98" t="s">
        <v>362</v>
      </c>
      <c r="B21" s="152" t="s">
        <v>149</v>
      </c>
      <c r="C21" s="743">
        <f t="shared" si="0"/>
        <v>0</v>
      </c>
      <c r="D21" s="191"/>
      <c r="G21" t="s">
        <v>574</v>
      </c>
    </row>
    <row r="22" spans="1:8" ht="23.25" customHeight="1" x14ac:dyDescent="0.25">
      <c r="A22" s="98" t="s">
        <v>91</v>
      </c>
      <c r="B22" s="140" t="s">
        <v>150</v>
      </c>
      <c r="C22" s="742">
        <f t="shared" si="0"/>
        <v>0</v>
      </c>
      <c r="D22" s="191"/>
      <c r="F22" s="666" t="s">
        <v>575</v>
      </c>
      <c r="G22" s="667">
        <v>2</v>
      </c>
    </row>
    <row r="23" spans="1:8" ht="23.25" customHeight="1" x14ac:dyDescent="0.25">
      <c r="A23" s="98" t="s">
        <v>363</v>
      </c>
      <c r="B23" s="152" t="s">
        <v>145</v>
      </c>
      <c r="C23" s="743">
        <f t="shared" si="0"/>
        <v>0</v>
      </c>
      <c r="D23" s="191"/>
    </row>
    <row r="24" spans="1:8" ht="23.25" customHeight="1" x14ac:dyDescent="0.25">
      <c r="A24" s="672" t="s">
        <v>595</v>
      </c>
      <c r="B24" s="140" t="s">
        <v>147</v>
      </c>
      <c r="C24" s="746">
        <f t="shared" si="0"/>
        <v>0</v>
      </c>
      <c r="D24" s="193"/>
    </row>
    <row r="25" spans="1:8" ht="23.25" customHeight="1" x14ac:dyDescent="0.25">
      <c r="A25" s="154" t="s">
        <v>524</v>
      </c>
      <c r="B25" s="139" t="s">
        <v>525</v>
      </c>
      <c r="C25" s="747">
        <f t="shared" si="0"/>
        <v>0</v>
      </c>
      <c r="D25" s="193"/>
    </row>
    <row r="26" spans="1:8" ht="23.25" customHeight="1" x14ac:dyDescent="0.25">
      <c r="A26" s="154" t="s">
        <v>375</v>
      </c>
      <c r="B26" s="139" t="s">
        <v>376</v>
      </c>
      <c r="C26" s="747">
        <f t="shared" si="0"/>
        <v>0</v>
      </c>
      <c r="D26" s="193"/>
    </row>
    <row r="27" spans="1:8" ht="23.25" customHeight="1" x14ac:dyDescent="0.25">
      <c r="A27" s="570" t="s">
        <v>400</v>
      </c>
      <c r="B27" s="139" t="s">
        <v>364</v>
      </c>
      <c r="C27" s="747">
        <f t="shared" si="0"/>
        <v>0</v>
      </c>
      <c r="D27" s="193"/>
    </row>
    <row r="28" spans="1:8" ht="23.25" customHeight="1" x14ac:dyDescent="0.25">
      <c r="A28" s="569" t="s">
        <v>399</v>
      </c>
      <c r="B28" s="140" t="s">
        <v>151</v>
      </c>
      <c r="C28" s="748">
        <f t="shared" si="0"/>
        <v>0</v>
      </c>
      <c r="D28" s="192"/>
    </row>
    <row r="29" spans="1:8" ht="23.25" customHeight="1" thickBot="1" x14ac:dyDescent="0.3">
      <c r="A29" s="571" t="s">
        <v>401</v>
      </c>
      <c r="B29" s="141" t="s">
        <v>377</v>
      </c>
      <c r="C29" s="749">
        <f t="shared" si="0"/>
        <v>0</v>
      </c>
      <c r="D29" s="194"/>
    </row>
    <row r="30" spans="1:8" ht="15" customHeight="1" thickBot="1" x14ac:dyDescent="0.25">
      <c r="A30" s="1552" t="str">
        <f>IF(G22=1,"ATTENZIONE è stata dichiarata IRAP commerciale. Controllare l'importo inserito!"," ")</f>
        <v xml:space="preserve"> </v>
      </c>
      <c r="B30" s="1552"/>
      <c r="C30" s="1552"/>
      <c r="D30" s="1552"/>
    </row>
    <row r="31" spans="1:8" ht="15" customHeight="1" x14ac:dyDescent="0.2">
      <c r="A31" s="1558" t="s">
        <v>560</v>
      </c>
      <c r="B31" s="1559"/>
      <c r="C31" s="1559"/>
      <c r="D31" s="1560"/>
    </row>
    <row r="32" spans="1:8" ht="95.1" customHeight="1" thickBot="1" x14ac:dyDescent="0.25">
      <c r="A32" s="1553"/>
      <c r="B32" s="1554"/>
      <c r="C32" s="1554"/>
      <c r="D32" s="1555"/>
      <c r="E32" s="1550" t="str">
        <f>IF(AND(A32="",(D25+D26)&gt;0),"ATTENZIONE!  Inserire nel campo NOTE l'elenco delle Istituzioni ed il relativo importo dei rimborsi EFFETTUATI!",IF(AND(A32&lt;&gt;"",(D25+D26)=0),"ATTENZIONE!  il campo NOTE non deve essere compilato in assenza di rimborsi",""))</f>
        <v/>
      </c>
      <c r="F32" s="1551"/>
      <c r="G32" s="1551"/>
      <c r="H32" s="1551"/>
    </row>
    <row r="33" spans="1:8" ht="15" customHeight="1" thickBot="1" x14ac:dyDescent="0.25">
      <c r="A33" s="1552"/>
      <c r="B33" s="1552"/>
      <c r="C33" s="1552"/>
      <c r="D33" s="1552"/>
    </row>
    <row r="34" spans="1:8" ht="15" customHeight="1" x14ac:dyDescent="0.2">
      <c r="A34" s="1558" t="s">
        <v>561</v>
      </c>
      <c r="B34" s="1559"/>
      <c r="C34" s="1559"/>
      <c r="D34" s="1560"/>
    </row>
    <row r="35" spans="1:8" ht="95.1" customHeight="1" thickBot="1" x14ac:dyDescent="0.25">
      <c r="A35" s="1553"/>
      <c r="B35" s="1554"/>
      <c r="C35" s="1554"/>
      <c r="D35" s="1555"/>
      <c r="E35" s="1550" t="str">
        <f>IF(AND(A35="",(D27+D28+D29)&gt;0),"ATTENZIONE!  Inserire nel campo NOTE l'elenco delle Istituzioni ed il relativo importo dei rimborsi RICEVUTI!",IF(AND(A35&lt;&gt;"",(D27+D28+D29)=0),"ATTENZIONE!  il campo NOTE non deve essere compilato in assenza di rimborsi",""))</f>
        <v/>
      </c>
      <c r="F35" s="1551"/>
      <c r="G35" s="1551"/>
      <c r="H35" s="1551"/>
    </row>
    <row r="36" spans="1:8" ht="23.25" customHeight="1" x14ac:dyDescent="0.2">
      <c r="A36" s="3" t="s">
        <v>402</v>
      </c>
    </row>
    <row r="37" spans="1:8" ht="25.5" customHeight="1" x14ac:dyDescent="0.2">
      <c r="A37" s="1556" t="s">
        <v>562</v>
      </c>
      <c r="B37" s="1556"/>
      <c r="C37" s="1556"/>
      <c r="D37" s="1556"/>
    </row>
    <row r="38" spans="1:8" ht="25.5" customHeight="1" x14ac:dyDescent="0.2">
      <c r="A38" s="1556" t="s">
        <v>563</v>
      </c>
      <c r="B38" s="1556"/>
      <c r="C38" s="1556"/>
      <c r="D38" s="1556"/>
    </row>
  </sheetData>
  <sheetProtection algorithmName="SHA-512" hashValue="g6AkROwMvFZIe6v89CI7k9y8jcRSZW3wlgqwvT7Z+uO/V2rE3kKqIFgV4kfVgkIPZE8XOtlR7UsBL/QQMWTr6Q==" saltValue="9Q9LnYc7MABEFQfr/RjQgw==" spinCount="100000" sheet="1" formatColumns="0" selectLockedCells="1"/>
  <mergeCells count="12">
    <mergeCell ref="A1:D1"/>
    <mergeCell ref="A30:D30"/>
    <mergeCell ref="A38:D38"/>
    <mergeCell ref="B2:D2"/>
    <mergeCell ref="A32:D32"/>
    <mergeCell ref="A31:D31"/>
    <mergeCell ref="A34:D34"/>
    <mergeCell ref="E32:H32"/>
    <mergeCell ref="A33:D33"/>
    <mergeCell ref="A35:D35"/>
    <mergeCell ref="E35:H35"/>
    <mergeCell ref="A37:D37"/>
  </mergeCells>
  <phoneticPr fontId="30" type="noConversion"/>
  <dataValidations count="4">
    <dataValidation type="textLength" allowBlank="1" showInputMessage="1" showErrorMessage="1" errorTitle="ATTENZIONE ! ! ! " error="E' stato superato il limite di 1000 caratteri" sqref="A32:D32 A35:D35" xr:uid="{00000000-0002-0000-1100-000000000000}">
      <formula1>0</formula1>
      <formula2>1000</formula2>
    </dataValidation>
    <dataValidation type="whole" allowBlank="1" showInputMessage="1" showErrorMessage="1" errorTitle="ERRORE NEL DATO IMMESSO" error="INSERIRE SOLO NUMERI INTERI" promptTitle="ATTENZIONE" prompt="Inserire nel campo NOTE sottostante il nome delle Istituzioni da cui si ricevono i rimborsi ed i relativi importi" sqref="D27:D29" xr:uid="{00000000-0002-0000-1100-000001000000}">
      <formula1>1</formula1>
      <formula2>999999999999</formula2>
    </dataValidation>
    <dataValidation type="whole" allowBlank="1" showInputMessage="1" showErrorMessage="1" errorTitle="ERRORE NEL DATO IMMESSO" error="INSERIRE SOLO NUMERI INTERI" sqref="D4:D24" xr:uid="{00000000-0002-0000-1100-000002000000}">
      <formula1>1</formula1>
      <formula2>999999999999</formula2>
    </dataValidation>
    <dataValidation type="whole" allowBlank="1" showInputMessage="1" showErrorMessage="1" errorTitle="ERRORE NEL DATO IMMESSO" error="INSERIRE SOLO NUMERI INTERI" promptTitle="ATTENZIONE" prompt="Inserire nel campo NOTE sottostante il nome delle Istituzioni che ricevono i rimborsi ed i relativi importi" sqref="D25:D26" xr:uid="{00000000-0002-0000-1100-000003000000}">
      <formula1>1</formula1>
      <formula2>999999999999</formula2>
    </dataValidation>
  </dataValidations>
  <printOptions horizontalCentered="1" verticalCentered="1"/>
  <pageMargins left="0" right="0" top="0.19685039370078741" bottom="0.15748031496062992" header="0.19685039370078741" footer="0.19685039370078741"/>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2977" r:id="rId4" name="Drop Down 993">
              <controlPr defaultSize="0" autoLine="0" autoPict="0" altText="No">
                <anchor moveWithCells="1">
                  <from>
                    <xdr:col>4</xdr:col>
                    <xdr:colOff>38100</xdr:colOff>
                    <xdr:row>21</xdr:row>
                    <xdr:rowOff>68580</xdr:rowOff>
                  </from>
                  <to>
                    <xdr:col>4</xdr:col>
                    <xdr:colOff>426720</xdr:colOff>
                    <xdr:row>21</xdr:row>
                    <xdr:rowOff>259080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W44"/>
  <sheetViews>
    <sheetView showGridLines="0" zoomScale="80" zoomScaleNormal="80" workbookViewId="0">
      <selection activeCell="C9" sqref="C9"/>
    </sheetView>
  </sheetViews>
  <sheetFormatPr defaultColWidth="12.7109375" defaultRowHeight="15" x14ac:dyDescent="0.25"/>
  <cols>
    <col min="1" max="1" width="65.7109375" style="771" customWidth="1"/>
    <col min="2" max="2" width="10.7109375" style="957" customWidth="1"/>
    <col min="3" max="3" width="20.7109375" style="1002" customWidth="1"/>
    <col min="4" max="4" width="3.28515625" style="771" customWidth="1"/>
    <col min="5" max="5" width="65.7109375" style="771" customWidth="1"/>
    <col min="6" max="6" width="10.7109375" style="771" customWidth="1"/>
    <col min="7" max="7" width="20.7109375" style="771" customWidth="1"/>
    <col min="8" max="8" width="73.28515625" style="771" customWidth="1"/>
    <col min="9" max="14" width="12.7109375" style="771" customWidth="1"/>
    <col min="15" max="18" width="12.7109375" style="771" hidden="1" customWidth="1"/>
    <col min="19" max="19" width="5.42578125" style="771" hidden="1" customWidth="1"/>
    <col min="20" max="23" width="12.7109375" style="771" hidden="1" customWidth="1"/>
    <col min="24" max="16384" width="12.7109375" style="771"/>
  </cols>
  <sheetData>
    <row r="1" spans="1:23" s="825" customFormat="1" ht="43.5" customHeight="1" x14ac:dyDescent="0.2">
      <c r="A1" s="909" t="str">
        <f>'t1'!$A$1</f>
        <v>ENTI PUBBLICI NON ECONOMICI - anno 2023</v>
      </c>
      <c r="B1" s="910"/>
      <c r="C1" s="910"/>
      <c r="D1" s="910"/>
      <c r="E1" s="910"/>
      <c r="F1" s="910"/>
      <c r="G1" s="910"/>
      <c r="H1" s="911" t="s">
        <v>489</v>
      </c>
      <c r="Q1" s="912">
        <v>44</v>
      </c>
      <c r="R1" s="912" t="s">
        <v>646</v>
      </c>
    </row>
    <row r="2" spans="1:23" s="825" customFormat="1" ht="15.3" customHeight="1" x14ac:dyDescent="0.2">
      <c r="B2" s="913"/>
      <c r="N2"/>
      <c r="O2" s="826"/>
      <c r="P2" s="826"/>
      <c r="Q2" s="826"/>
      <c r="R2" s="914"/>
      <c r="S2" s="914"/>
      <c r="T2" s="826"/>
      <c r="U2" s="826"/>
      <c r="V2" s="826"/>
      <c r="W2" s="914"/>
    </row>
    <row r="3" spans="1:23" s="825" customFormat="1" ht="44.55" customHeight="1" x14ac:dyDescent="0.2">
      <c r="A3" s="915"/>
      <c r="B3" s="916"/>
      <c r="C3" s="916"/>
      <c r="D3" s="916"/>
      <c r="E3" s="916"/>
      <c r="F3" s="916"/>
      <c r="G3" s="916"/>
      <c r="N3"/>
      <c r="O3" s="917"/>
      <c r="P3" s="917"/>
      <c r="Q3" s="826"/>
      <c r="R3" s="914"/>
      <c r="S3" s="914"/>
      <c r="T3" s="917"/>
      <c r="U3" s="917"/>
      <c r="V3" s="826"/>
      <c r="W3" s="914"/>
    </row>
    <row r="4" spans="1:23" s="825" customFormat="1" ht="15.3" customHeight="1" thickBot="1" x14ac:dyDescent="0.25">
      <c r="B4" s="913"/>
      <c r="N4"/>
      <c r="O4" s="826"/>
      <c r="P4" s="826"/>
      <c r="Q4" s="826"/>
      <c r="R4" s="914"/>
      <c r="S4" s="914"/>
      <c r="T4" s="826"/>
      <c r="U4" s="826"/>
      <c r="V4" s="826"/>
      <c r="W4" s="914"/>
    </row>
    <row r="5" spans="1:23" s="825" customFormat="1" ht="25.5" customHeight="1" thickBot="1" x14ac:dyDescent="0.25">
      <c r="A5" s="918" t="s">
        <v>1012</v>
      </c>
      <c r="B5" s="919"/>
      <c r="C5" s="920"/>
      <c r="D5" s="921"/>
      <c r="E5" s="918" t="s">
        <v>1013</v>
      </c>
      <c r="F5" s="919"/>
      <c r="G5" s="920"/>
      <c r="H5" s="922" t="s">
        <v>647</v>
      </c>
      <c r="I5" s="923"/>
      <c r="J5" s="923"/>
      <c r="K5" s="923"/>
      <c r="L5" s="923"/>
      <c r="N5" s="924"/>
      <c r="O5" s="924"/>
      <c r="P5" s="924"/>
      <c r="Q5" s="924"/>
    </row>
    <row r="6" spans="1:23" s="825" customFormat="1" ht="18" customHeight="1" x14ac:dyDescent="0.2">
      <c r="A6" s="925" t="s">
        <v>115</v>
      </c>
      <c r="B6" s="926" t="s">
        <v>116</v>
      </c>
      <c r="C6" s="927" t="s">
        <v>230</v>
      </c>
      <c r="D6" s="928"/>
      <c r="E6" s="925" t="s">
        <v>115</v>
      </c>
      <c r="F6" s="929" t="s">
        <v>116</v>
      </c>
      <c r="G6" s="930" t="s">
        <v>230</v>
      </c>
      <c r="H6" s="1561" t="str">
        <f>IF(AND(SUMIF($S:$S,"SQ9",$R:$R)=0,ISBLANK('SICI(1)'!F13)),"OK",IF(AND(ABS(SUMIF($S:$S,"SQ9",$R:$R))&gt;0,ISBLANK('SICI(1)'!F13)),"Attenzione: inserire le voci di costituzione del fondo unicamente in presenza di certificazione dello stesso (cfr. SICI GEN196) !",IF(AND(SUMIF($S:$S,"SQ9",$R:$R)=0,'SICI(1)'!F13&gt;0),"Attenzione: in presenza di date di certificazione del fondo (cfr. SICI GEN196) è necessario compilare il lato costituzione di T15 !","OK")))</f>
        <v>OK</v>
      </c>
      <c r="I6" s="923"/>
      <c r="J6" s="923"/>
      <c r="K6" s="923"/>
      <c r="L6" s="923"/>
      <c r="M6" s="924"/>
      <c r="N6" s="924"/>
      <c r="O6" s="924"/>
      <c r="P6" s="924"/>
      <c r="Q6" s="924"/>
    </row>
    <row r="7" spans="1:23" s="825" customFormat="1" ht="17.100000000000001" customHeight="1" x14ac:dyDescent="0.3">
      <c r="A7" s="931" t="s">
        <v>648</v>
      </c>
      <c r="B7" s="932"/>
      <c r="C7" s="933"/>
      <c r="D7" s="934"/>
      <c r="E7" s="931" t="s">
        <v>648</v>
      </c>
      <c r="F7" s="932"/>
      <c r="G7" s="933"/>
      <c r="H7" s="1562"/>
      <c r="I7" s="923"/>
      <c r="J7" s="923"/>
      <c r="K7" s="923"/>
      <c r="L7" s="923"/>
      <c r="M7" s="924"/>
      <c r="N7" s="924"/>
      <c r="O7" s="767" t="s">
        <v>649</v>
      </c>
      <c r="P7" s="935"/>
      <c r="Q7" s="936"/>
      <c r="R7" s="936"/>
      <c r="S7" s="914"/>
      <c r="T7" s="767" t="s">
        <v>650</v>
      </c>
      <c r="U7" s="935"/>
      <c r="V7" s="936"/>
      <c r="W7" s="936"/>
    </row>
    <row r="8" spans="1:23" s="825" customFormat="1" ht="17.100000000000001" customHeight="1" x14ac:dyDescent="0.25">
      <c r="A8" s="937" t="s">
        <v>651</v>
      </c>
      <c r="B8" s="938"/>
      <c r="C8" s="939"/>
      <c r="D8" s="940"/>
      <c r="E8" s="941" t="s">
        <v>864</v>
      </c>
      <c r="F8" s="942"/>
      <c r="G8" s="943"/>
      <c r="H8" s="1562"/>
      <c r="I8" s="923"/>
      <c r="J8" s="923"/>
      <c r="K8" s="923"/>
      <c r="L8" s="923"/>
      <c r="M8" s="924"/>
      <c r="N8" s="924"/>
      <c r="O8" s="768" t="s">
        <v>652</v>
      </c>
      <c r="P8" s="768" t="s">
        <v>653</v>
      </c>
      <c r="Q8" s="768" t="s">
        <v>654</v>
      </c>
      <c r="R8" s="768" t="s">
        <v>655</v>
      </c>
      <c r="S8" s="914"/>
      <c r="T8" s="768" t="s">
        <v>652</v>
      </c>
      <c r="U8" s="768" t="s">
        <v>653</v>
      </c>
      <c r="V8" s="768" t="s">
        <v>654</v>
      </c>
      <c r="W8" s="768" t="s">
        <v>655</v>
      </c>
    </row>
    <row r="9" spans="1:23" s="825" customFormat="1" ht="17.100000000000001" customHeight="1" x14ac:dyDescent="0.2">
      <c r="A9" s="901" t="s">
        <v>781</v>
      </c>
      <c r="B9" s="927" t="s">
        <v>475</v>
      </c>
      <c r="C9" s="944"/>
      <c r="D9" s="928"/>
      <c r="E9" s="901" t="s">
        <v>915</v>
      </c>
      <c r="F9" s="927" t="s">
        <v>916</v>
      </c>
      <c r="G9" s="944"/>
      <c r="H9" s="1562"/>
      <c r="I9" s="923"/>
      <c r="J9" s="923"/>
      <c r="K9" s="923"/>
      <c r="L9" s="923"/>
      <c r="M9" s="924"/>
      <c r="N9" s="924"/>
      <c r="O9" s="913">
        <v>44</v>
      </c>
      <c r="P9" s="913">
        <v>7</v>
      </c>
      <c r="Q9" s="913" t="str">
        <f>B9</f>
        <v>F76G</v>
      </c>
      <c r="R9" s="945">
        <f>IF(ISNUMBER(C9),ROUND(C9,0),0)</f>
        <v>0</v>
      </c>
      <c r="S9" s="913" t="str">
        <f t="shared" ref="S9:S18" si="0">VLOOKUP(O9,$Q:$R,2,FALSE)</f>
        <v>SQ9</v>
      </c>
      <c r="T9" s="913">
        <v>44</v>
      </c>
      <c r="U9" s="913">
        <v>61</v>
      </c>
      <c r="V9" s="913" t="str">
        <f>F9</f>
        <v>U448</v>
      </c>
      <c r="W9" s="945">
        <f>IF(ISNUMBER(G9),ROUND(G9,0),0)</f>
        <v>0</v>
      </c>
    </row>
    <row r="10" spans="1:23" s="825" customFormat="1" ht="17.100000000000001" customHeight="1" x14ac:dyDescent="0.2">
      <c r="A10" s="901" t="s">
        <v>1129</v>
      </c>
      <c r="B10" s="927" t="s">
        <v>476</v>
      </c>
      <c r="C10" s="944"/>
      <c r="D10" s="928"/>
      <c r="E10" s="901" t="s">
        <v>592</v>
      </c>
      <c r="F10" s="927" t="s">
        <v>487</v>
      </c>
      <c r="G10" s="944"/>
      <c r="H10" s="1562"/>
      <c r="I10" s="923"/>
      <c r="J10" s="923"/>
      <c r="K10" s="923"/>
      <c r="L10" s="923"/>
      <c r="M10" s="924"/>
      <c r="N10" s="924"/>
      <c r="O10" s="913">
        <v>44</v>
      </c>
      <c r="P10" s="913">
        <v>7</v>
      </c>
      <c r="Q10" s="913" t="str">
        <f t="shared" ref="Q10:Q18" si="1">B10</f>
        <v>F05H</v>
      </c>
      <c r="R10" s="945">
        <f t="shared" ref="R10:R18" si="2">IF(ISNUMBER(C10),ROUND(C10,0),0)</f>
        <v>0</v>
      </c>
      <c r="S10" s="913" t="str">
        <f t="shared" si="0"/>
        <v>SQ9</v>
      </c>
      <c r="T10" s="913">
        <v>44</v>
      </c>
      <c r="U10" s="913">
        <v>61</v>
      </c>
      <c r="V10" s="913" t="str">
        <f>F10</f>
        <v>U449</v>
      </c>
      <c r="W10" s="945">
        <f>IF(ISNUMBER(G10),ROUND(G10,0),0)</f>
        <v>0</v>
      </c>
    </row>
    <row r="11" spans="1:23" s="825" customFormat="1" ht="17.100000000000001" customHeight="1" thickBot="1" x14ac:dyDescent="0.25">
      <c r="A11" s="901" t="s">
        <v>1130</v>
      </c>
      <c r="B11" s="927" t="s">
        <v>477</v>
      </c>
      <c r="C11" s="944"/>
      <c r="D11" s="928"/>
      <c r="E11" s="901" t="s">
        <v>965</v>
      </c>
      <c r="F11" s="927" t="s">
        <v>966</v>
      </c>
      <c r="G11" s="944"/>
      <c r="H11" s="1563"/>
      <c r="I11" s="923"/>
      <c r="J11" s="923"/>
      <c r="K11" s="923"/>
      <c r="L11" s="923"/>
      <c r="M11" s="924"/>
      <c r="N11" s="924"/>
      <c r="O11" s="913">
        <v>44</v>
      </c>
      <c r="P11" s="913">
        <v>7</v>
      </c>
      <c r="Q11" s="913" t="str">
        <f t="shared" si="1"/>
        <v>F06H</v>
      </c>
      <c r="R11" s="945">
        <f t="shared" si="2"/>
        <v>0</v>
      </c>
      <c r="S11" s="913" t="str">
        <f t="shared" si="0"/>
        <v>SQ9</v>
      </c>
      <c r="T11" s="913">
        <v>44</v>
      </c>
      <c r="U11" s="913">
        <v>61</v>
      </c>
      <c r="V11" s="913" t="str">
        <f>F11</f>
        <v>U02I</v>
      </c>
      <c r="W11" s="945">
        <f>IF(ISNUMBER(G11),ROUND(G11,0),0)</f>
        <v>0</v>
      </c>
    </row>
    <row r="12" spans="1:23" ht="17.100000000000001" customHeight="1" thickBot="1" x14ac:dyDescent="0.3">
      <c r="A12" s="901" t="s">
        <v>1131</v>
      </c>
      <c r="B12" s="947" t="s">
        <v>478</v>
      </c>
      <c r="C12" s="944"/>
      <c r="D12" s="928"/>
      <c r="E12" s="948" t="s">
        <v>584</v>
      </c>
      <c r="F12" s="949" t="s">
        <v>488</v>
      </c>
      <c r="G12" s="944"/>
      <c r="H12" s="950" t="s">
        <v>734</v>
      </c>
      <c r="I12" s="951"/>
      <c r="J12" s="951"/>
      <c r="K12" s="951"/>
      <c r="L12" s="951"/>
      <c r="O12" s="913">
        <v>44</v>
      </c>
      <c r="P12" s="913">
        <v>7</v>
      </c>
      <c r="Q12" s="913" t="str">
        <f t="shared" si="1"/>
        <v>F07H</v>
      </c>
      <c r="R12" s="945">
        <f t="shared" si="2"/>
        <v>0</v>
      </c>
      <c r="S12" s="913" t="str">
        <f t="shared" si="0"/>
        <v>SQ9</v>
      </c>
      <c r="T12" s="952">
        <v>44</v>
      </c>
      <c r="U12" s="952">
        <v>61</v>
      </c>
      <c r="V12" s="952" t="str">
        <f>F12</f>
        <v>U998</v>
      </c>
      <c r="W12" s="953">
        <f>IF(ISNUMBER(G12),ROUND(G12,0),0)</f>
        <v>0</v>
      </c>
    </row>
    <row r="13" spans="1:23" ht="17.100000000000001" customHeight="1" thickBot="1" x14ac:dyDescent="0.3">
      <c r="A13" s="901" t="s">
        <v>1132</v>
      </c>
      <c r="B13" s="947" t="s">
        <v>852</v>
      </c>
      <c r="C13" s="944"/>
      <c r="D13" s="928"/>
      <c r="E13" s="954" t="s">
        <v>865</v>
      </c>
      <c r="F13" s="955"/>
      <c r="G13" s="956">
        <f>SUM(G9:G12)</f>
        <v>0</v>
      </c>
      <c r="H13" s="1561" t="str">
        <f>IF(LEN(H17&amp;H18&amp;H19&amp;H20)&gt;0,"Attenzione, le seguenti voci creano incongruenza perché magg. del 10% del totale:","OK")</f>
        <v>OK</v>
      </c>
      <c r="I13" s="951"/>
      <c r="J13" s="951"/>
      <c r="K13" s="951"/>
      <c r="L13" s="951"/>
      <c r="O13" s="913">
        <v>44</v>
      </c>
      <c r="P13" s="913">
        <v>7</v>
      </c>
      <c r="Q13" s="913" t="str">
        <f t="shared" si="1"/>
        <v>F11V</v>
      </c>
      <c r="R13" s="945">
        <f t="shared" si="2"/>
        <v>0</v>
      </c>
      <c r="S13" s="913" t="str">
        <f t="shared" si="0"/>
        <v>SQ9</v>
      </c>
      <c r="T13" s="957" t="s">
        <v>547</v>
      </c>
      <c r="U13" s="957"/>
      <c r="V13" s="957"/>
      <c r="W13" s="957"/>
    </row>
    <row r="14" spans="1:23" ht="17.100000000000001" customHeight="1" thickBot="1" x14ac:dyDescent="0.3">
      <c r="A14" s="946" t="s">
        <v>1189</v>
      </c>
      <c r="B14" s="947" t="s">
        <v>1133</v>
      </c>
      <c r="C14" s="944"/>
      <c r="D14" s="928"/>
      <c r="E14" s="958" t="s">
        <v>582</v>
      </c>
      <c r="F14" s="959"/>
      <c r="G14" s="960">
        <f>G13</f>
        <v>0</v>
      </c>
      <c r="H14" s="1564"/>
      <c r="I14" s="951"/>
      <c r="J14" s="951"/>
      <c r="K14" s="951"/>
      <c r="L14" s="951"/>
      <c r="O14" s="913">
        <v>44</v>
      </c>
      <c r="P14" s="913">
        <v>7</v>
      </c>
      <c r="Q14" s="913" t="str">
        <f t="shared" si="1"/>
        <v>F27J</v>
      </c>
      <c r="R14" s="945">
        <f t="shared" si="2"/>
        <v>0</v>
      </c>
      <c r="S14" s="913" t="str">
        <f t="shared" si="0"/>
        <v>SQ9</v>
      </c>
      <c r="T14" s="957"/>
      <c r="U14" s="957"/>
      <c r="V14" s="957"/>
      <c r="W14" s="957"/>
    </row>
    <row r="15" spans="1:23" ht="17.100000000000001" customHeight="1" x14ac:dyDescent="0.25">
      <c r="A15" s="946" t="s">
        <v>811</v>
      </c>
      <c r="B15" s="947" t="s">
        <v>479</v>
      </c>
      <c r="C15" s="944"/>
      <c r="D15" s="928"/>
      <c r="E15" s="962"/>
      <c r="F15" s="963"/>
      <c r="G15" s="964"/>
      <c r="H15" s="961"/>
      <c r="I15" s="951"/>
      <c r="J15" s="951"/>
      <c r="K15" s="951"/>
      <c r="L15" s="951"/>
      <c r="O15" s="913">
        <v>44</v>
      </c>
      <c r="P15" s="913">
        <v>7</v>
      </c>
      <c r="Q15" s="913" t="str">
        <f t="shared" si="1"/>
        <v>F08H</v>
      </c>
      <c r="R15" s="945">
        <f>IF(ISNUMBER(C15),ROUND(C15,0),0)</f>
        <v>0</v>
      </c>
      <c r="S15" s="913" t="str">
        <f t="shared" si="0"/>
        <v>SQ9</v>
      </c>
      <c r="T15" s="957"/>
      <c r="U15" s="957"/>
      <c r="V15" s="957"/>
      <c r="W15" s="957"/>
    </row>
    <row r="16" spans="1:23" ht="17.100000000000001" customHeight="1" x14ac:dyDescent="0.25">
      <c r="A16" s="946" t="s">
        <v>812</v>
      </c>
      <c r="B16" s="947" t="s">
        <v>480</v>
      </c>
      <c r="C16" s="944"/>
      <c r="D16" s="928"/>
      <c r="E16" s="962"/>
      <c r="F16" s="963"/>
      <c r="G16" s="964"/>
      <c r="H16" s="961"/>
      <c r="I16" s="951"/>
      <c r="J16" s="951"/>
      <c r="K16" s="951"/>
      <c r="L16" s="951"/>
      <c r="O16" s="913">
        <v>44</v>
      </c>
      <c r="P16" s="913">
        <v>7</v>
      </c>
      <c r="Q16" s="913" t="str">
        <f t="shared" si="1"/>
        <v>F09H</v>
      </c>
      <c r="R16" s="945">
        <f t="shared" si="2"/>
        <v>0</v>
      </c>
      <c r="S16" s="913" t="str">
        <f t="shared" si="0"/>
        <v>SQ9</v>
      </c>
      <c r="T16" s="965"/>
      <c r="U16" s="965"/>
      <c r="V16" s="913"/>
      <c r="W16" s="945"/>
    </row>
    <row r="17" spans="1:23" ht="17.100000000000001" customHeight="1" x14ac:dyDescent="0.25">
      <c r="A17" s="901" t="s">
        <v>999</v>
      </c>
      <c r="B17" s="966" t="s">
        <v>866</v>
      </c>
      <c r="C17" s="944"/>
      <c r="D17" s="928"/>
      <c r="E17" s="967"/>
      <c r="F17" s="963"/>
      <c r="G17" s="964"/>
      <c r="H17" s="968" t="str">
        <f>IF(C40&lt;&gt;0,IF(R18/ABS(C$40)&gt;0.1,"Fondo posizione e risultato - Altre risorse fisse - F00O",""),"")</f>
        <v/>
      </c>
      <c r="I17" s="969"/>
      <c r="J17" s="969"/>
      <c r="K17" s="969"/>
      <c r="L17" s="969"/>
      <c r="O17" s="913">
        <v>44</v>
      </c>
      <c r="P17" s="913">
        <v>7</v>
      </c>
      <c r="Q17" s="913" t="str">
        <f t="shared" si="1"/>
        <v>F16L</v>
      </c>
      <c r="R17" s="945">
        <f t="shared" si="2"/>
        <v>0</v>
      </c>
      <c r="S17" s="913" t="str">
        <f t="shared" si="0"/>
        <v>SQ9</v>
      </c>
      <c r="T17" s="965"/>
      <c r="U17" s="965"/>
      <c r="V17" s="913"/>
      <c r="W17" s="945"/>
    </row>
    <row r="18" spans="1:23" ht="17.100000000000001" customHeight="1" x14ac:dyDescent="0.25">
      <c r="A18" s="901" t="s">
        <v>917</v>
      </c>
      <c r="B18" s="966" t="s">
        <v>918</v>
      </c>
      <c r="C18" s="944"/>
      <c r="D18" s="928"/>
      <c r="E18" s="962"/>
      <c r="F18" s="963"/>
      <c r="G18" s="964"/>
      <c r="H18" s="968" t="str">
        <f>IF(C40&lt;&gt;0,IF(R30/ABS(C$40)&gt;0.1,"Fondo posizione e risultato - Altre risorse variabili - F00O",""),"")</f>
        <v/>
      </c>
      <c r="I18" s="969"/>
      <c r="J18" s="969"/>
      <c r="K18" s="969"/>
      <c r="L18" s="969"/>
      <c r="O18" s="952">
        <v>44</v>
      </c>
      <c r="P18" s="952">
        <v>7</v>
      </c>
      <c r="Q18" s="952" t="str">
        <f t="shared" si="1"/>
        <v>F00O</v>
      </c>
      <c r="R18" s="953">
        <f t="shared" si="2"/>
        <v>0</v>
      </c>
      <c r="S18" s="913" t="str">
        <f t="shared" si="0"/>
        <v>SQ9</v>
      </c>
      <c r="U18" s="957"/>
      <c r="V18" s="957"/>
      <c r="W18" s="957"/>
    </row>
    <row r="19" spans="1:23" ht="17.100000000000001" customHeight="1" thickBot="1" x14ac:dyDescent="0.3">
      <c r="A19" s="970" t="s">
        <v>345</v>
      </c>
      <c r="B19" s="955"/>
      <c r="C19" s="956">
        <f>SUM(C9:C18)</f>
        <v>0</v>
      </c>
      <c r="D19" s="928"/>
      <c r="E19" s="962"/>
      <c r="F19" s="963"/>
      <c r="G19" s="964"/>
      <c r="H19" s="968" t="str">
        <f>IF(C40&lt;&gt;0,IF(R37/ABS(C$40)&gt;0.1,"Fondo posizione e risultato - Altre decurtazioni - F01P",""),"")</f>
        <v/>
      </c>
      <c r="I19" s="969"/>
      <c r="J19" s="969"/>
      <c r="K19" s="969"/>
      <c r="L19" s="969"/>
      <c r="S19" s="971"/>
      <c r="T19" s="957"/>
      <c r="U19" s="957"/>
      <c r="V19" s="957"/>
      <c r="W19" s="957"/>
    </row>
    <row r="20" spans="1:23" ht="17.100000000000001" customHeight="1" x14ac:dyDescent="0.25">
      <c r="A20" s="972" t="s">
        <v>346</v>
      </c>
      <c r="B20" s="973"/>
      <c r="C20" s="974"/>
      <c r="D20" s="928"/>
      <c r="E20" s="962"/>
      <c r="F20" s="963"/>
      <c r="G20" s="964"/>
      <c r="H20" s="968" t="str">
        <f>IF(G14&lt;&gt;0,IF(W12/ABS(G14)&gt;0.1,"Fondo posizione e risultato - Altre destinazioni - U998",""),"")</f>
        <v/>
      </c>
      <c r="I20" s="969"/>
      <c r="J20" s="969"/>
      <c r="K20" s="969"/>
      <c r="L20" s="969"/>
      <c r="T20" s="957"/>
      <c r="U20" s="957"/>
      <c r="V20" s="957"/>
      <c r="W20" s="957"/>
    </row>
    <row r="21" spans="1:23" ht="17.100000000000001" customHeight="1" thickBot="1" x14ac:dyDescent="0.3">
      <c r="A21" s="901" t="s">
        <v>748</v>
      </c>
      <c r="B21" s="927" t="s">
        <v>481</v>
      </c>
      <c r="C21" s="944"/>
      <c r="D21" s="928"/>
      <c r="E21" s="962"/>
      <c r="F21" s="963"/>
      <c r="G21" s="964"/>
      <c r="H21" s="975"/>
      <c r="I21" s="976"/>
      <c r="J21" s="976"/>
      <c r="K21" s="976"/>
      <c r="L21" s="976"/>
      <c r="O21" s="965">
        <v>44</v>
      </c>
      <c r="P21" s="965">
        <v>9</v>
      </c>
      <c r="Q21" s="913" t="str">
        <f>B21</f>
        <v>F50H</v>
      </c>
      <c r="R21" s="945">
        <f>IF(ISNUMBER(C21),ROUND(C21,0),0)</f>
        <v>0</v>
      </c>
      <c r="S21" s="913" t="str">
        <f t="shared" ref="S21:S30" si="3">VLOOKUP(O21,$Q:$R,2,FALSE)</f>
        <v>SQ9</v>
      </c>
      <c r="T21" s="957"/>
      <c r="U21" s="957"/>
      <c r="V21" s="957"/>
      <c r="W21" s="957"/>
    </row>
    <row r="22" spans="1:23" ht="17.100000000000001" customHeight="1" thickBot="1" x14ac:dyDescent="0.3">
      <c r="A22" s="977" t="s">
        <v>749</v>
      </c>
      <c r="B22" s="927" t="s">
        <v>482</v>
      </c>
      <c r="C22" s="944"/>
      <c r="D22" s="928"/>
      <c r="E22" s="962"/>
      <c r="F22" s="963"/>
      <c r="G22" s="964"/>
      <c r="H22" s="950" t="s">
        <v>1014</v>
      </c>
      <c r="I22" s="976"/>
      <c r="J22" s="976"/>
      <c r="K22" s="976"/>
      <c r="L22" s="976"/>
      <c r="O22" s="965">
        <v>44</v>
      </c>
      <c r="P22" s="965">
        <v>9</v>
      </c>
      <c r="Q22" s="913" t="str">
        <f t="shared" ref="Q22:Q30" si="4">B22</f>
        <v>F51H</v>
      </c>
      <c r="R22" s="945">
        <f t="shared" ref="R22:R30" si="5">IF(ISNUMBER(C22),ROUND(C22,0),0)</f>
        <v>0</v>
      </c>
      <c r="S22" s="913" t="str">
        <f t="shared" si="3"/>
        <v>SQ9</v>
      </c>
      <c r="T22" s="957"/>
      <c r="U22" s="957"/>
      <c r="V22" s="957"/>
      <c r="W22" s="957"/>
    </row>
    <row r="23" spans="1:23" ht="17.100000000000001" customHeight="1" x14ac:dyDescent="0.25">
      <c r="A23" s="946" t="s">
        <v>814</v>
      </c>
      <c r="B23" s="947" t="s">
        <v>483</v>
      </c>
      <c r="C23" s="944"/>
      <c r="D23" s="928"/>
      <c r="E23" s="962"/>
      <c r="F23" s="963"/>
      <c r="G23" s="964"/>
      <c r="H23" s="1564" t="str">
        <f>IF(AND(SUMIF($O:$O,$Q1,$R:$R)&lt;&gt;0,SUM('SICI(1)'!$F$13)&gt;0),IF(SUMIFS($R:$R,$P:$P,"&lt;&gt;81",$O:$O,$Q1)-SUMIFS($R:$R,$P:$P,"81",$O:$O,$Q1)-SUMIF($T:$T,$Q1,$W:$W)&lt;0,"Attenzione, nelle seguenti sezioni le destinazioni risultano superiori alle relative risorse e generano pertanto squadratura 8: "&amp;CHAR(10)&amp;A7,"OK"),"OK")</f>
        <v>OK</v>
      </c>
      <c r="I23" s="969"/>
      <c r="J23" s="969"/>
      <c r="K23" s="969"/>
      <c r="L23" s="969"/>
      <c r="O23" s="965">
        <v>44</v>
      </c>
      <c r="P23" s="965">
        <v>9</v>
      </c>
      <c r="Q23" s="913" t="str">
        <f t="shared" si="4"/>
        <v>F54B</v>
      </c>
      <c r="R23" s="945">
        <f t="shared" si="5"/>
        <v>0</v>
      </c>
      <c r="S23" s="913" t="str">
        <f t="shared" si="3"/>
        <v>SQ9</v>
      </c>
      <c r="T23" s="957"/>
      <c r="U23" s="957"/>
      <c r="V23" s="957"/>
      <c r="W23" s="957"/>
    </row>
    <row r="24" spans="1:23" ht="17.100000000000001" customHeight="1" x14ac:dyDescent="0.25">
      <c r="A24" s="946" t="s">
        <v>919</v>
      </c>
      <c r="B24" s="947" t="s">
        <v>920</v>
      </c>
      <c r="C24" s="944"/>
      <c r="D24" s="928"/>
      <c r="E24" s="962"/>
      <c r="F24" s="963"/>
      <c r="G24" s="964"/>
      <c r="H24" s="1564"/>
      <c r="I24" s="969"/>
      <c r="J24" s="969"/>
      <c r="K24" s="969"/>
      <c r="L24" s="969"/>
      <c r="O24" s="965">
        <v>44</v>
      </c>
      <c r="P24" s="965">
        <v>9</v>
      </c>
      <c r="Q24" s="913" t="str">
        <f t="shared" si="4"/>
        <v>F19S</v>
      </c>
      <c r="R24" s="945">
        <f t="shared" si="5"/>
        <v>0</v>
      </c>
      <c r="S24" s="913" t="str">
        <f t="shared" si="3"/>
        <v>SQ9</v>
      </c>
      <c r="T24" s="957"/>
      <c r="U24" s="957"/>
      <c r="V24" s="957"/>
      <c r="W24" s="957"/>
    </row>
    <row r="25" spans="1:23" ht="17.100000000000001" customHeight="1" x14ac:dyDescent="0.25">
      <c r="A25" s="946" t="s">
        <v>1134</v>
      </c>
      <c r="B25" s="947" t="s">
        <v>851</v>
      </c>
      <c r="C25" s="944"/>
      <c r="D25" s="928"/>
      <c r="E25" s="962"/>
      <c r="F25" s="963"/>
      <c r="G25" s="964"/>
      <c r="H25" s="1564"/>
      <c r="I25" s="969"/>
      <c r="J25" s="969"/>
      <c r="K25" s="969"/>
      <c r="L25" s="969"/>
      <c r="O25" s="965">
        <v>44</v>
      </c>
      <c r="P25" s="965">
        <v>9</v>
      </c>
      <c r="Q25" s="913" t="str">
        <f t="shared" si="4"/>
        <v>F11W</v>
      </c>
      <c r="R25" s="945">
        <f t="shared" si="5"/>
        <v>0</v>
      </c>
      <c r="S25" s="913" t="str">
        <f t="shared" si="3"/>
        <v>SQ9</v>
      </c>
      <c r="T25" s="957"/>
      <c r="U25" s="957"/>
      <c r="V25" s="957"/>
      <c r="W25" s="957"/>
    </row>
    <row r="26" spans="1:23" ht="17.100000000000001" customHeight="1" thickBot="1" x14ac:dyDescent="0.3">
      <c r="A26" s="946" t="s">
        <v>967</v>
      </c>
      <c r="B26" s="947" t="s">
        <v>484</v>
      </c>
      <c r="C26" s="944"/>
      <c r="D26" s="928"/>
      <c r="E26" s="962"/>
      <c r="F26" s="963"/>
      <c r="G26" s="964"/>
      <c r="H26" s="1565"/>
      <c r="I26" s="969"/>
      <c r="J26" s="969"/>
      <c r="K26" s="969"/>
      <c r="L26" s="969"/>
      <c r="O26" s="965">
        <v>44</v>
      </c>
      <c r="P26" s="965">
        <v>9</v>
      </c>
      <c r="Q26" s="913" t="str">
        <f t="shared" si="4"/>
        <v>F10H</v>
      </c>
      <c r="R26" s="945">
        <f t="shared" si="5"/>
        <v>0</v>
      </c>
      <c r="S26" s="913" t="str">
        <f t="shared" si="3"/>
        <v>SQ9</v>
      </c>
      <c r="T26" s="957"/>
      <c r="U26" s="957"/>
      <c r="V26" s="957"/>
      <c r="W26" s="957"/>
    </row>
    <row r="27" spans="1:23" ht="17.100000000000001" customHeight="1" x14ac:dyDescent="0.25">
      <c r="A27" s="946" t="s">
        <v>813</v>
      </c>
      <c r="B27" s="947" t="s">
        <v>485</v>
      </c>
      <c r="C27" s="944"/>
      <c r="D27" s="928"/>
      <c r="E27" s="962"/>
      <c r="F27" s="963"/>
      <c r="G27" s="964"/>
      <c r="H27" s="978"/>
      <c r="I27" s="969"/>
      <c r="J27" s="969"/>
      <c r="K27" s="969"/>
      <c r="L27" s="969"/>
      <c r="O27" s="965">
        <v>44</v>
      </c>
      <c r="P27" s="965">
        <v>9</v>
      </c>
      <c r="Q27" s="913" t="str">
        <f t="shared" si="4"/>
        <v>F15H</v>
      </c>
      <c r="R27" s="945">
        <f t="shared" si="5"/>
        <v>0</v>
      </c>
      <c r="S27" s="913" t="str">
        <f t="shared" si="3"/>
        <v>SQ9</v>
      </c>
      <c r="T27" s="957"/>
      <c r="U27" s="957"/>
      <c r="V27" s="957"/>
      <c r="W27" s="957"/>
    </row>
    <row r="28" spans="1:23" ht="17.100000000000001" customHeight="1" x14ac:dyDescent="0.25">
      <c r="A28" s="901" t="s">
        <v>1135</v>
      </c>
      <c r="B28" s="1371" t="s">
        <v>1136</v>
      </c>
      <c r="C28" s="944"/>
      <c r="D28" s="928"/>
      <c r="E28" s="962"/>
      <c r="F28" s="963"/>
      <c r="G28" s="964"/>
      <c r="H28" s="978"/>
      <c r="I28" s="969"/>
      <c r="J28" s="969"/>
      <c r="K28" s="969"/>
      <c r="L28" s="969"/>
      <c r="O28" s="965">
        <v>44</v>
      </c>
      <c r="P28" s="965">
        <v>9</v>
      </c>
      <c r="Q28" s="913" t="str">
        <f>B28</f>
        <v>F24T</v>
      </c>
      <c r="R28" s="945">
        <f>IF(ISNUMBER(C28),ROUND(C28,0),0)</f>
        <v>0</v>
      </c>
      <c r="S28" s="913" t="str">
        <f t="shared" si="3"/>
        <v>SQ9</v>
      </c>
      <c r="T28" s="957"/>
      <c r="U28" s="957"/>
      <c r="V28" s="957"/>
      <c r="W28" s="957"/>
    </row>
    <row r="29" spans="1:23" ht="17.100000000000001" customHeight="1" x14ac:dyDescent="0.25">
      <c r="A29" s="901" t="s">
        <v>1137</v>
      </c>
      <c r="B29" s="966" t="s">
        <v>486</v>
      </c>
      <c r="C29" s="944"/>
      <c r="D29" s="928"/>
      <c r="E29" s="962"/>
      <c r="F29" s="963"/>
      <c r="G29" s="964"/>
      <c r="H29" s="978"/>
      <c r="I29" s="969"/>
      <c r="J29" s="969"/>
      <c r="K29" s="969"/>
      <c r="L29" s="969"/>
      <c r="O29" s="965">
        <v>44</v>
      </c>
      <c r="P29" s="965">
        <v>9</v>
      </c>
      <c r="Q29" s="913" t="str">
        <f t="shared" si="4"/>
        <v>F999</v>
      </c>
      <c r="R29" s="945">
        <f t="shared" si="5"/>
        <v>0</v>
      </c>
      <c r="S29" s="913" t="str">
        <f t="shared" si="3"/>
        <v>SQ9</v>
      </c>
      <c r="T29" s="957"/>
      <c r="U29" s="957"/>
      <c r="V29" s="957"/>
      <c r="W29" s="957"/>
    </row>
    <row r="30" spans="1:23" ht="17.100000000000001" customHeight="1" x14ac:dyDescent="0.25">
      <c r="A30" s="901" t="s">
        <v>917</v>
      </c>
      <c r="B30" s="966" t="s">
        <v>918</v>
      </c>
      <c r="C30" s="944"/>
      <c r="D30" s="928"/>
      <c r="E30" s="962"/>
      <c r="F30" s="963"/>
      <c r="G30" s="964"/>
      <c r="H30" s="978"/>
      <c r="I30" s="969"/>
      <c r="J30" s="969"/>
      <c r="K30" s="969"/>
      <c r="L30" s="969"/>
      <c r="O30" s="979">
        <v>44</v>
      </c>
      <c r="P30" s="979">
        <v>9</v>
      </c>
      <c r="Q30" s="952" t="str">
        <f t="shared" si="4"/>
        <v>F00O</v>
      </c>
      <c r="R30" s="953">
        <f t="shared" si="5"/>
        <v>0</v>
      </c>
      <c r="S30" s="913" t="str">
        <f t="shared" si="3"/>
        <v>SQ9</v>
      </c>
      <c r="T30" s="957"/>
      <c r="U30" s="957"/>
      <c r="V30" s="957"/>
      <c r="W30" s="957"/>
    </row>
    <row r="31" spans="1:23" ht="17.100000000000001" customHeight="1" x14ac:dyDescent="0.25">
      <c r="A31" s="980" t="s">
        <v>347</v>
      </c>
      <c r="B31" s="981"/>
      <c r="C31" s="982">
        <f>SUM(C21:C30)</f>
        <v>0</v>
      </c>
      <c r="D31" s="928"/>
      <c r="E31" s="962"/>
      <c r="F31" s="963"/>
      <c r="G31" s="964"/>
      <c r="H31" s="978"/>
      <c r="I31" s="969"/>
      <c r="J31" s="969"/>
      <c r="K31" s="969"/>
      <c r="L31" s="969"/>
      <c r="O31" s="965"/>
      <c r="P31" s="965"/>
      <c r="Q31" s="913"/>
      <c r="R31" s="945"/>
      <c r="S31" s="913"/>
      <c r="T31" s="957"/>
      <c r="U31" s="957"/>
      <c r="V31" s="957"/>
      <c r="W31" s="957"/>
    </row>
    <row r="32" spans="1:23" ht="17.100000000000001" customHeight="1" x14ac:dyDescent="0.25">
      <c r="A32" s="983" t="s">
        <v>729</v>
      </c>
      <c r="B32" s="984"/>
      <c r="C32" s="985"/>
      <c r="D32" s="928"/>
      <c r="E32" s="962"/>
      <c r="F32" s="963"/>
      <c r="G32" s="964"/>
      <c r="H32" s="978"/>
      <c r="I32" s="969"/>
      <c r="J32" s="969"/>
      <c r="K32" s="969"/>
      <c r="L32" s="969"/>
      <c r="T32" s="957"/>
      <c r="U32" s="957"/>
      <c r="V32" s="957"/>
      <c r="W32" s="957"/>
    </row>
    <row r="33" spans="1:23" ht="17.100000000000001" customHeight="1" x14ac:dyDescent="0.25">
      <c r="A33" s="901" t="s">
        <v>754</v>
      </c>
      <c r="B33" s="927" t="s">
        <v>730</v>
      </c>
      <c r="C33" s="944"/>
      <c r="D33" s="928"/>
      <c r="E33" s="986"/>
      <c r="F33" s="987"/>
      <c r="G33" s="964"/>
      <c r="H33" s="978"/>
      <c r="I33" s="969"/>
      <c r="J33" s="969"/>
      <c r="K33" s="969"/>
      <c r="L33" s="969"/>
      <c r="O33" s="988">
        <v>44</v>
      </c>
      <c r="P33" s="988">
        <v>81</v>
      </c>
      <c r="Q33" s="913" t="str">
        <f>B33</f>
        <v>F02P</v>
      </c>
      <c r="R33" s="945">
        <f>IF(ISNUMBER(C33),ROUND(C33,0),0)</f>
        <v>0</v>
      </c>
      <c r="S33" s="913" t="str">
        <f>VLOOKUP(O33,$Q:$R,2,FALSE)</f>
        <v>SQ9</v>
      </c>
      <c r="T33" s="957"/>
      <c r="U33" s="957"/>
      <c r="V33" s="957"/>
      <c r="W33" s="957"/>
    </row>
    <row r="34" spans="1:23" ht="17.100000000000001" customHeight="1" x14ac:dyDescent="0.25">
      <c r="A34" s="901" t="s">
        <v>755</v>
      </c>
      <c r="B34" s="927" t="s">
        <v>615</v>
      </c>
      <c r="C34" s="944"/>
      <c r="D34" s="928"/>
      <c r="E34" s="986"/>
      <c r="F34" s="987"/>
      <c r="G34" s="964"/>
      <c r="H34" s="978"/>
      <c r="I34" s="969"/>
      <c r="J34" s="969"/>
      <c r="K34" s="969"/>
      <c r="L34" s="969"/>
      <c r="O34" s="988">
        <v>44</v>
      </c>
      <c r="P34" s="988">
        <v>81</v>
      </c>
      <c r="Q34" s="913" t="str">
        <f>B34</f>
        <v>F27I</v>
      </c>
      <c r="R34" s="945">
        <f>IF(ISNUMBER(C34),ROUND(C34,0),0)</f>
        <v>0</v>
      </c>
      <c r="S34" s="913" t="str">
        <f>VLOOKUP(O34,$Q:$R,2,FALSE)</f>
        <v>SQ9</v>
      </c>
      <c r="T34" s="957"/>
      <c r="U34" s="957"/>
      <c r="V34" s="957"/>
      <c r="W34" s="957"/>
    </row>
    <row r="35" spans="1:23" ht="17.100000000000001" customHeight="1" x14ac:dyDescent="0.25">
      <c r="A35" s="901" t="s">
        <v>800</v>
      </c>
      <c r="B35" s="927" t="s">
        <v>731</v>
      </c>
      <c r="C35" s="944"/>
      <c r="D35" s="928"/>
      <c r="E35" s="986"/>
      <c r="F35" s="987"/>
      <c r="G35" s="964"/>
      <c r="H35" s="978"/>
      <c r="I35" s="969"/>
      <c r="J35" s="969"/>
      <c r="K35" s="969"/>
      <c r="L35" s="969"/>
      <c r="O35" s="988">
        <v>44</v>
      </c>
      <c r="P35" s="988">
        <v>81</v>
      </c>
      <c r="Q35" s="913" t="str">
        <f>B35</f>
        <v>F00P</v>
      </c>
      <c r="R35" s="945">
        <f>IF(ISNUMBER(C35),ROUND(C35,0),0)</f>
        <v>0</v>
      </c>
      <c r="S35" s="913" t="str">
        <f>VLOOKUP(O35,$Q:$R,2,FALSE)</f>
        <v>SQ9</v>
      </c>
      <c r="T35" s="957"/>
      <c r="U35" s="957"/>
      <c r="V35" s="957"/>
      <c r="W35" s="957"/>
    </row>
    <row r="36" spans="1:23" ht="17.25" customHeight="1" x14ac:dyDescent="0.25">
      <c r="A36" s="901" t="s">
        <v>756</v>
      </c>
      <c r="B36" s="989" t="s">
        <v>757</v>
      </c>
      <c r="C36" s="944"/>
      <c r="D36" s="928"/>
      <c r="E36" s="986"/>
      <c r="F36" s="987"/>
      <c r="G36" s="964"/>
      <c r="H36" s="978"/>
      <c r="I36" s="969"/>
      <c r="J36" s="969"/>
      <c r="K36" s="969"/>
      <c r="L36" s="969"/>
      <c r="O36" s="988">
        <v>44</v>
      </c>
      <c r="P36" s="988">
        <v>81</v>
      </c>
      <c r="Q36" s="913" t="str">
        <f>B36</f>
        <v>F01S</v>
      </c>
      <c r="R36" s="945">
        <f>IF(ISNUMBER(C36),ROUND(C36,0),0)</f>
        <v>0</v>
      </c>
      <c r="S36" s="913" t="str">
        <f>VLOOKUP(O36,$Q:$R,2,FALSE)</f>
        <v>SQ9</v>
      </c>
      <c r="T36" s="957"/>
      <c r="U36" s="957"/>
      <c r="V36" s="957"/>
      <c r="W36" s="957"/>
    </row>
    <row r="37" spans="1:23" ht="17.25" customHeight="1" x14ac:dyDescent="0.25">
      <c r="A37" s="901" t="s">
        <v>921</v>
      </c>
      <c r="B37" s="966" t="s">
        <v>732</v>
      </c>
      <c r="C37" s="944"/>
      <c r="D37" s="928"/>
      <c r="E37" s="986"/>
      <c r="F37" s="987"/>
      <c r="G37" s="964"/>
      <c r="H37" s="969"/>
      <c r="I37" s="969"/>
      <c r="J37" s="969"/>
      <c r="K37" s="969"/>
      <c r="L37" s="969"/>
      <c r="O37" s="990">
        <v>44</v>
      </c>
      <c r="P37" s="990">
        <v>81</v>
      </c>
      <c r="Q37" s="952" t="str">
        <f>B37</f>
        <v>F01P</v>
      </c>
      <c r="R37" s="953">
        <f>IF(ISNUMBER(C37),ROUND(C37,0),0)</f>
        <v>0</v>
      </c>
      <c r="S37" s="913" t="str">
        <f>VLOOKUP(O37,$Q:$R,2,FALSE)</f>
        <v>SQ9</v>
      </c>
      <c r="T37" s="957"/>
      <c r="U37" s="957"/>
      <c r="V37" s="957"/>
      <c r="W37" s="957"/>
    </row>
    <row r="38" spans="1:23" ht="16.95" customHeight="1" thickBot="1" x14ac:dyDescent="0.3">
      <c r="A38" s="970" t="s">
        <v>733</v>
      </c>
      <c r="B38" s="955"/>
      <c r="C38" s="991">
        <f>SUM(C33:C37)</f>
        <v>0</v>
      </c>
      <c r="D38" s="928"/>
      <c r="E38" s="986"/>
      <c r="F38" s="987"/>
      <c r="G38" s="964"/>
      <c r="H38" s="969"/>
      <c r="I38" s="969"/>
      <c r="J38" s="969"/>
      <c r="K38" s="969"/>
      <c r="L38" s="969"/>
      <c r="O38" s="913" t="s">
        <v>547</v>
      </c>
      <c r="P38" s="957"/>
      <c r="Q38" s="957"/>
      <c r="R38" s="957"/>
      <c r="S38" s="957"/>
      <c r="T38" s="957"/>
      <c r="U38" s="957"/>
      <c r="V38" s="957"/>
      <c r="W38" s="957"/>
    </row>
    <row r="39" spans="1:23" s="996" customFormat="1" ht="17.25" customHeight="1" thickBot="1" x14ac:dyDescent="0.3">
      <c r="A39" s="958" t="s">
        <v>582</v>
      </c>
      <c r="B39" s="992"/>
      <c r="C39" s="960">
        <f>C19+C31-C38</f>
        <v>0</v>
      </c>
      <c r="D39" s="940"/>
      <c r="E39" s="993"/>
      <c r="F39" s="994"/>
      <c r="G39" s="995"/>
      <c r="H39" s="969"/>
      <c r="T39" s="997"/>
      <c r="U39" s="997"/>
      <c r="V39" s="997"/>
      <c r="W39" s="997"/>
    </row>
    <row r="40" spans="1:23" ht="17.100000000000001" customHeight="1" thickBot="1" x14ac:dyDescent="0.3">
      <c r="A40" s="998" t="s">
        <v>922</v>
      </c>
      <c r="B40" s="999"/>
      <c r="C40" s="960">
        <f>C39</f>
        <v>0</v>
      </c>
      <c r="E40" s="1000" t="s">
        <v>923</v>
      </c>
      <c r="F40" s="999"/>
      <c r="G40" s="960">
        <f>G14</f>
        <v>0</v>
      </c>
      <c r="H40" s="996"/>
      <c r="O40" s="997"/>
      <c r="P40" s="997"/>
      <c r="Q40" s="997"/>
      <c r="R40" s="1001"/>
      <c r="S40" s="997"/>
    </row>
    <row r="41" spans="1:23" ht="4.95" customHeight="1" x14ac:dyDescent="0.25">
      <c r="C41" s="825"/>
    </row>
    <row r="42" spans="1:23" x14ac:dyDescent="0.25">
      <c r="A42" s="825" t="s">
        <v>1015</v>
      </c>
      <c r="B42" s="913"/>
      <c r="E42" s="825"/>
      <c r="F42" s="825"/>
      <c r="G42" s="825"/>
    </row>
    <row r="43" spans="1:23" x14ac:dyDescent="0.25">
      <c r="A43" s="825" t="s">
        <v>1138</v>
      </c>
    </row>
    <row r="44" spans="1:23" x14ac:dyDescent="0.25">
      <c r="A44" s="825" t="s">
        <v>1029</v>
      </c>
    </row>
  </sheetData>
  <sheetProtection algorithmName="SHA-512" hashValue="02B1tARC9imI+EDffX26GPsK+gRBOOQmGq510Ga9krVlEgReszi1Y+sg++e1zSzgZNxof+hMzFqDa/fbYhVgyA==" saltValue="D8FyckkkPGur13XxLrjmWg==" spinCount="100000" sheet="1" formatColumns="0" selectLockedCells="1"/>
  <mergeCells count="3">
    <mergeCell ref="H6:H11"/>
    <mergeCell ref="H13:H14"/>
    <mergeCell ref="H23:H26"/>
  </mergeCells>
  <dataValidations count="2">
    <dataValidation type="whole" allowBlank="1" showInputMessage="1" showErrorMessage="1" errorTitle="ERRORE NEL DATO IMMESSO" error="INSERIRE SOLO NUMERI INTERI" sqref="C21:C30 C9:C18 G9:G12 C32:C37" xr:uid="{6BBFA8B6-A18B-4DCD-9B9B-7480208F6FED}">
      <formula1>0</formula1>
      <formula2>999999999999</formula2>
    </dataValidation>
    <dataValidation type="whole" allowBlank="1" showInputMessage="1" showErrorMessage="1" errorTitle="ERRORE NEL DATO IMMESSO" error="INSERIRE SOLO NUMERI INTERI" sqref="C19 G13:G15 G33:G39 C31 C38" xr:uid="{59B9490B-BC23-4F8B-9F0A-F78A1437E4DD}">
      <formula1>-999999999999</formula1>
      <formula2>999999999999</formula2>
    </dataValidation>
  </dataValidations>
  <printOptions horizontalCentered="1"/>
  <pageMargins left="0.39370078740157483" right="0.39370078740157483" top="0.78740157480314965" bottom="0.39370078740157483" header="0.51181102362204722" footer="0.15748031496062992"/>
  <pageSetup paperSize="9" scale="61" orientation="portrait" horizontalDpi="300" vertic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47"/>
  <sheetViews>
    <sheetView showGridLines="0" workbookViewId="0">
      <selection activeCell="D5" sqref="D5"/>
    </sheetView>
  </sheetViews>
  <sheetFormatPr defaultColWidth="10.85546875" defaultRowHeight="10.199999999999999" x14ac:dyDescent="0.2"/>
  <cols>
    <col min="1" max="1" width="30" style="3" customWidth="1"/>
    <col min="2" max="2" width="8.140625" style="3" hidden="1" customWidth="1"/>
    <col min="3" max="3" width="3.85546875" style="2" bestFit="1" customWidth="1"/>
    <col min="4" max="4" width="152.42578125" style="3" customWidth="1"/>
    <col min="5" max="6" width="9.28515625" style="3" customWidth="1"/>
    <col min="7" max="7" width="23.140625" style="3" customWidth="1"/>
    <col min="8" max="218" width="9.28515625" style="3" customWidth="1"/>
    <col min="219" max="219" width="48.28515625" style="3" customWidth="1"/>
    <col min="220" max="244" width="0" style="3" hidden="1" customWidth="1"/>
    <col min="245" max="250" width="11.140625" style="3" customWidth="1"/>
    <col min="251" max="16384" width="10.85546875" style="3"/>
  </cols>
  <sheetData>
    <row r="1" spans="1:5" ht="31.2" customHeight="1" x14ac:dyDescent="0.3">
      <c r="A1" s="751" t="str">
        <f>'t1'!A1</f>
        <v>ENTI PUBBLICI NON ECONOMICI - anno 2023</v>
      </c>
      <c r="B1" s="751"/>
      <c r="C1" s="751"/>
      <c r="D1" s="1235"/>
      <c r="E1" s="1236">
        <f>IF(D5="",IF(D15="",IF(D25="",IF(D35="",0,1),1),1)*1,1)</f>
        <v>0</v>
      </c>
    </row>
    <row r="2" spans="1:5" ht="30" customHeight="1" x14ac:dyDescent="0.2">
      <c r="A2" s="5"/>
      <c r="B2" s="5"/>
    </row>
    <row r="3" spans="1:5" ht="30" customHeight="1" thickBot="1" x14ac:dyDescent="0.25">
      <c r="A3" s="5"/>
      <c r="B3" s="5"/>
      <c r="D3" s="1237" t="str">
        <f>IF(E1=0,"Compilare la tabella partendo dalla riga numero uno di ogni CATEGORIA se presenti.","")</f>
        <v>Compilare la tabella partendo dalla riga numero uno di ogni CATEGORIA se presenti.</v>
      </c>
    </row>
    <row r="4" spans="1:5" ht="26.4" customHeight="1" thickTop="1" thickBot="1" x14ac:dyDescent="0.25">
      <c r="A4" s="1238" t="s">
        <v>89</v>
      </c>
      <c r="B4" s="1239" t="s">
        <v>1064</v>
      </c>
      <c r="C4" s="1240"/>
      <c r="D4" s="1240" t="s">
        <v>1065</v>
      </c>
      <c r="E4" s="1241"/>
    </row>
    <row r="5" spans="1:5" ht="23.4" customHeight="1" thickTop="1" x14ac:dyDescent="0.2">
      <c r="A5" s="1442" t="s">
        <v>1066</v>
      </c>
      <c r="B5" s="1242" t="s">
        <v>1006</v>
      </c>
      <c r="C5" s="1243">
        <v>1</v>
      </c>
      <c r="D5" s="1244"/>
    </row>
    <row r="6" spans="1:5" ht="23.4" customHeight="1" x14ac:dyDescent="0.2">
      <c r="A6" s="1443"/>
      <c r="B6" s="1245" t="s">
        <v>1006</v>
      </c>
      <c r="C6" s="1246">
        <v>2</v>
      </c>
      <c r="D6" s="1247"/>
    </row>
    <row r="7" spans="1:5" ht="23.4" customHeight="1" x14ac:dyDescent="0.2">
      <c r="A7" s="1443"/>
      <c r="B7" s="1248" t="s">
        <v>1006</v>
      </c>
      <c r="C7" s="1249">
        <v>3</v>
      </c>
      <c r="D7" s="1247"/>
    </row>
    <row r="8" spans="1:5" ht="23.4" customHeight="1" x14ac:dyDescent="0.2">
      <c r="A8" s="1443"/>
      <c r="B8" s="1245" t="s">
        <v>1006</v>
      </c>
      <c r="C8" s="1250">
        <v>4</v>
      </c>
      <c r="D8" s="1247"/>
    </row>
    <row r="9" spans="1:5" ht="23.4" customHeight="1" x14ac:dyDescent="0.2">
      <c r="A9" s="1443"/>
      <c r="B9" s="1245" t="s">
        <v>1006</v>
      </c>
      <c r="C9" s="1250">
        <v>5</v>
      </c>
      <c r="D9" s="1247"/>
    </row>
    <row r="10" spans="1:5" ht="23.4" customHeight="1" x14ac:dyDescent="0.2">
      <c r="A10" s="1443"/>
      <c r="B10" s="1245" t="s">
        <v>1006</v>
      </c>
      <c r="C10" s="1250">
        <v>6</v>
      </c>
      <c r="D10" s="1251"/>
    </row>
    <row r="11" spans="1:5" ht="23.4" customHeight="1" x14ac:dyDescent="0.2">
      <c r="A11" s="1443"/>
      <c r="B11" s="1248" t="s">
        <v>1006</v>
      </c>
      <c r="C11" s="1250">
        <v>7</v>
      </c>
      <c r="D11" s="1252"/>
    </row>
    <row r="12" spans="1:5" ht="23.4" customHeight="1" x14ac:dyDescent="0.2">
      <c r="A12" s="1443"/>
      <c r="B12" s="1245" t="s">
        <v>1006</v>
      </c>
      <c r="C12" s="1246">
        <v>8</v>
      </c>
      <c r="D12" s="1247"/>
    </row>
    <row r="13" spans="1:5" ht="23.4" customHeight="1" x14ac:dyDescent="0.2">
      <c r="A13" s="1443"/>
      <c r="B13" s="1253" t="s">
        <v>1006</v>
      </c>
      <c r="C13" s="1246">
        <v>9</v>
      </c>
      <c r="D13" s="1247"/>
    </row>
    <row r="14" spans="1:5" ht="23.4" customHeight="1" thickBot="1" x14ac:dyDescent="0.25">
      <c r="A14" s="1444"/>
      <c r="B14" s="1254" t="s">
        <v>1006</v>
      </c>
      <c r="C14" s="1255">
        <v>10</v>
      </c>
      <c r="D14" s="1256"/>
    </row>
    <row r="15" spans="1:5" ht="23.4" customHeight="1" thickTop="1" x14ac:dyDescent="0.2">
      <c r="A15" s="1445" t="s">
        <v>1001</v>
      </c>
      <c r="B15" s="1242" t="s">
        <v>1007</v>
      </c>
      <c r="C15" s="1257">
        <v>1</v>
      </c>
      <c r="D15" s="1244"/>
    </row>
    <row r="16" spans="1:5" ht="23.4" customHeight="1" x14ac:dyDescent="0.2">
      <c r="A16" s="1446"/>
      <c r="B16" s="1245" t="s">
        <v>1007</v>
      </c>
      <c r="C16" s="1258">
        <v>2</v>
      </c>
      <c r="D16" s="1247"/>
    </row>
    <row r="17" spans="1:4" ht="23.4" customHeight="1" x14ac:dyDescent="0.2">
      <c r="A17" s="1447"/>
      <c r="B17" s="1248" t="s">
        <v>1007</v>
      </c>
      <c r="C17" s="1258">
        <v>3</v>
      </c>
      <c r="D17" s="1247"/>
    </row>
    <row r="18" spans="1:4" ht="23.4" customHeight="1" x14ac:dyDescent="0.2">
      <c r="A18" s="1446"/>
      <c r="B18" s="1245" t="s">
        <v>1007</v>
      </c>
      <c r="C18" s="1259">
        <v>4</v>
      </c>
      <c r="D18" s="1247"/>
    </row>
    <row r="19" spans="1:4" ht="23.4" customHeight="1" x14ac:dyDescent="0.2">
      <c r="A19" s="1446"/>
      <c r="B19" s="1245" t="s">
        <v>1007</v>
      </c>
      <c r="C19" s="1259">
        <v>5</v>
      </c>
      <c r="D19" s="1247"/>
    </row>
    <row r="20" spans="1:4" ht="23.4" customHeight="1" x14ac:dyDescent="0.2">
      <c r="A20" s="1446"/>
      <c r="B20" s="1245" t="s">
        <v>1007</v>
      </c>
      <c r="C20" s="1259">
        <v>6</v>
      </c>
      <c r="D20" s="1251"/>
    </row>
    <row r="21" spans="1:4" ht="23.4" customHeight="1" x14ac:dyDescent="0.2">
      <c r="A21" s="1446"/>
      <c r="B21" s="1248" t="s">
        <v>1007</v>
      </c>
      <c r="C21" s="1259">
        <v>7</v>
      </c>
      <c r="D21" s="1252"/>
    </row>
    <row r="22" spans="1:4" ht="23.4" customHeight="1" x14ac:dyDescent="0.2">
      <c r="A22" s="1446"/>
      <c r="B22" s="1245" t="s">
        <v>1007</v>
      </c>
      <c r="C22" s="1258">
        <v>8</v>
      </c>
      <c r="D22" s="1247"/>
    </row>
    <row r="23" spans="1:4" ht="23.4" customHeight="1" x14ac:dyDescent="0.2">
      <c r="A23" s="1446"/>
      <c r="B23" s="1253" t="s">
        <v>1007</v>
      </c>
      <c r="C23" s="1258">
        <v>9</v>
      </c>
      <c r="D23" s="1247"/>
    </row>
    <row r="24" spans="1:4" ht="23.4" customHeight="1" thickBot="1" x14ac:dyDescent="0.25">
      <c r="A24" s="1448"/>
      <c r="B24" s="1254" t="s">
        <v>1007</v>
      </c>
      <c r="C24" s="1260">
        <v>10</v>
      </c>
      <c r="D24" s="1256"/>
    </row>
    <row r="25" spans="1:4" ht="23.4" customHeight="1" thickTop="1" x14ac:dyDescent="0.2">
      <c r="A25" s="1445" t="s">
        <v>1002</v>
      </c>
      <c r="B25" s="1242" t="s">
        <v>1008</v>
      </c>
      <c r="C25" s="1257">
        <v>1</v>
      </c>
      <c r="D25" s="1244"/>
    </row>
    <row r="26" spans="1:4" ht="23.4" customHeight="1" x14ac:dyDescent="0.2">
      <c r="A26" s="1446"/>
      <c r="B26" s="1245" t="s">
        <v>1008</v>
      </c>
      <c r="C26" s="1258">
        <v>2</v>
      </c>
      <c r="D26" s="1247"/>
    </row>
    <row r="27" spans="1:4" ht="23.4" customHeight="1" x14ac:dyDescent="0.2">
      <c r="A27" s="1447"/>
      <c r="B27" s="1248" t="s">
        <v>1008</v>
      </c>
      <c r="C27" s="1258">
        <v>3</v>
      </c>
      <c r="D27" s="1247"/>
    </row>
    <row r="28" spans="1:4" ht="23.4" customHeight="1" x14ac:dyDescent="0.2">
      <c r="A28" s="1446"/>
      <c r="B28" s="1245" t="s">
        <v>1008</v>
      </c>
      <c r="C28" s="1259">
        <v>4</v>
      </c>
      <c r="D28" s="1247"/>
    </row>
    <row r="29" spans="1:4" ht="23.4" customHeight="1" x14ac:dyDescent="0.2">
      <c r="A29" s="1446"/>
      <c r="B29" s="1245" t="s">
        <v>1008</v>
      </c>
      <c r="C29" s="1259">
        <v>5</v>
      </c>
      <c r="D29" s="1247"/>
    </row>
    <row r="30" spans="1:4" ht="23.4" customHeight="1" x14ac:dyDescent="0.2">
      <c r="A30" s="1446"/>
      <c r="B30" s="1245" t="s">
        <v>1008</v>
      </c>
      <c r="C30" s="1259">
        <v>6</v>
      </c>
      <c r="D30" s="1251"/>
    </row>
    <row r="31" spans="1:4" ht="23.4" customHeight="1" x14ac:dyDescent="0.2">
      <c r="A31" s="1446"/>
      <c r="B31" s="1248" t="s">
        <v>1008</v>
      </c>
      <c r="C31" s="1259">
        <v>7</v>
      </c>
      <c r="D31" s="1252"/>
    </row>
    <row r="32" spans="1:4" ht="23.4" customHeight="1" x14ac:dyDescent="0.2">
      <c r="A32" s="1446"/>
      <c r="B32" s="1245" t="s">
        <v>1008</v>
      </c>
      <c r="C32" s="1258">
        <v>8</v>
      </c>
      <c r="D32" s="1247"/>
    </row>
    <row r="33" spans="1:4" ht="23.4" customHeight="1" x14ac:dyDescent="0.2">
      <c r="A33" s="1446"/>
      <c r="B33" s="1253" t="s">
        <v>1008</v>
      </c>
      <c r="C33" s="1258">
        <v>9</v>
      </c>
      <c r="D33" s="1247"/>
    </row>
    <row r="34" spans="1:4" ht="23.4" customHeight="1" thickBot="1" x14ac:dyDescent="0.25">
      <c r="A34" s="1448"/>
      <c r="B34" s="1254" t="s">
        <v>1008</v>
      </c>
      <c r="C34" s="1260">
        <v>10</v>
      </c>
      <c r="D34" s="1256"/>
    </row>
    <row r="35" spans="1:4" ht="23.4" customHeight="1" thickTop="1" x14ac:dyDescent="0.2">
      <c r="A35" s="1445" t="s">
        <v>1003</v>
      </c>
      <c r="B35" s="1242" t="s">
        <v>1009</v>
      </c>
      <c r="C35" s="1257">
        <v>1</v>
      </c>
      <c r="D35" s="1244"/>
    </row>
    <row r="36" spans="1:4" ht="23.4" customHeight="1" x14ac:dyDescent="0.2">
      <c r="A36" s="1446"/>
      <c r="B36" s="1245" t="s">
        <v>1009</v>
      </c>
      <c r="C36" s="1258">
        <v>2</v>
      </c>
      <c r="D36" s="1247"/>
    </row>
    <row r="37" spans="1:4" ht="23.4" customHeight="1" x14ac:dyDescent="0.2">
      <c r="A37" s="1447"/>
      <c r="B37" s="1248" t="s">
        <v>1009</v>
      </c>
      <c r="C37" s="1258">
        <v>3</v>
      </c>
      <c r="D37" s="1247"/>
    </row>
    <row r="38" spans="1:4" ht="23.4" customHeight="1" x14ac:dyDescent="0.2">
      <c r="A38" s="1446"/>
      <c r="B38" s="1245" t="s">
        <v>1009</v>
      </c>
      <c r="C38" s="1259">
        <v>4</v>
      </c>
      <c r="D38" s="1247"/>
    </row>
    <row r="39" spans="1:4" ht="23.4" customHeight="1" x14ac:dyDescent="0.2">
      <c r="A39" s="1446"/>
      <c r="B39" s="1245" t="s">
        <v>1009</v>
      </c>
      <c r="C39" s="1259">
        <v>5</v>
      </c>
      <c r="D39" s="1247"/>
    </row>
    <row r="40" spans="1:4" ht="23.4" customHeight="1" x14ac:dyDescent="0.2">
      <c r="A40" s="1446"/>
      <c r="B40" s="1245" t="s">
        <v>1009</v>
      </c>
      <c r="C40" s="1259">
        <v>6</v>
      </c>
      <c r="D40" s="1251"/>
    </row>
    <row r="41" spans="1:4" ht="23.4" customHeight="1" x14ac:dyDescent="0.2">
      <c r="A41" s="1446"/>
      <c r="B41" s="1248" t="s">
        <v>1009</v>
      </c>
      <c r="C41" s="1259">
        <v>7</v>
      </c>
      <c r="D41" s="1252"/>
    </row>
    <row r="42" spans="1:4" ht="23.4" customHeight="1" x14ac:dyDescent="0.2">
      <c r="A42" s="1446"/>
      <c r="B42" s="1245" t="s">
        <v>1009</v>
      </c>
      <c r="C42" s="1258">
        <v>8</v>
      </c>
      <c r="D42" s="1247"/>
    </row>
    <row r="43" spans="1:4" ht="23.4" customHeight="1" x14ac:dyDescent="0.2">
      <c r="A43" s="1446"/>
      <c r="B43" s="1253" t="s">
        <v>1009</v>
      </c>
      <c r="C43" s="1258">
        <v>9</v>
      </c>
      <c r="D43" s="1247"/>
    </row>
    <row r="44" spans="1:4" ht="23.4" customHeight="1" thickBot="1" x14ac:dyDescent="0.25">
      <c r="A44" s="1448"/>
      <c r="B44" s="1254" t="s">
        <v>1009</v>
      </c>
      <c r="C44" s="1260">
        <v>10</v>
      </c>
      <c r="D44" s="1256"/>
    </row>
    <row r="45" spans="1:4" ht="8.25" customHeight="1" thickTop="1" x14ac:dyDescent="0.2">
      <c r="A45" s="6"/>
      <c r="B45" s="6"/>
    </row>
    <row r="46" spans="1:4" ht="13.2" x14ac:dyDescent="0.25">
      <c r="A46" s="1261"/>
      <c r="B46" s="1261"/>
    </row>
    <row r="47" spans="1:4" ht="13.2" x14ac:dyDescent="0.25">
      <c r="A47" s="1261"/>
      <c r="B47" s="1261"/>
    </row>
  </sheetData>
  <sheetProtection password="DD41" sheet="1" formatColumns="0" selectLockedCells="1"/>
  <mergeCells count="4">
    <mergeCell ref="A5:A14"/>
    <mergeCell ref="A15:A24"/>
    <mergeCell ref="A25:A34"/>
    <mergeCell ref="A35:A44"/>
  </mergeCells>
  <dataValidations count="1">
    <dataValidation type="textLength" operator="lessThan" allowBlank="1" showInputMessage="1" showErrorMessage="1" errorTitle="Inseriti troppi caratteri" error="Il numero massimo di caratteri è 200" sqref="D5:D44" xr:uid="{00000000-0002-0000-0200-000000000000}">
      <formula1>201</formula1>
    </dataValidation>
  </dataValidations>
  <printOptions horizontalCentered="1"/>
  <pageMargins left="0.23622047244094491" right="0.23622047244094491" top="0.35433070866141736" bottom="0.35433070866141736" header="0.31496062992125984" footer="0.31496062992125984"/>
  <pageSetup paperSize="9" scale="90"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W47"/>
  <sheetViews>
    <sheetView showGridLines="0" zoomScale="80" zoomScaleNormal="80" workbookViewId="0">
      <selection activeCell="C9" sqref="C9"/>
    </sheetView>
  </sheetViews>
  <sheetFormatPr defaultColWidth="12.7109375" defaultRowHeight="10.199999999999999" x14ac:dyDescent="0.2"/>
  <cols>
    <col min="1" max="1" width="65.7109375" style="825" customWidth="1"/>
    <col min="2" max="2" width="10.7109375" style="913" customWidth="1"/>
    <col min="3" max="3" width="20.7109375" style="825" customWidth="1"/>
    <col min="4" max="4" width="3.28515625" style="825" customWidth="1"/>
    <col min="5" max="5" width="65.7109375" style="825" customWidth="1"/>
    <col min="6" max="6" width="10.7109375" style="825" customWidth="1"/>
    <col min="7" max="7" width="20.7109375" style="825" customWidth="1"/>
    <col min="8" max="8" width="73.28515625" style="825" customWidth="1"/>
    <col min="9" max="14" width="12.7109375" style="825" customWidth="1"/>
    <col min="15" max="18" width="12.7109375" style="825" hidden="1" customWidth="1"/>
    <col min="19" max="19" width="5.140625" style="825" hidden="1" customWidth="1"/>
    <col min="20" max="23" width="12.7109375" style="825" hidden="1" customWidth="1"/>
    <col min="24" max="16384" width="12.7109375" style="825"/>
  </cols>
  <sheetData>
    <row r="1" spans="1:23" ht="43.5" customHeight="1" x14ac:dyDescent="0.2">
      <c r="A1" s="909" t="str">
        <f>'t1'!$A$1</f>
        <v>ENTI PUBBLICI NON ECONOMICI - anno 2023</v>
      </c>
      <c r="B1" s="910"/>
      <c r="C1" s="910"/>
      <c r="D1" s="910"/>
      <c r="E1" s="910"/>
      <c r="F1" s="910"/>
      <c r="G1" s="910"/>
      <c r="H1" s="911" t="s">
        <v>472</v>
      </c>
      <c r="Q1" s="912">
        <v>44</v>
      </c>
      <c r="R1" s="912" t="s">
        <v>646</v>
      </c>
    </row>
    <row r="2" spans="1:23" ht="15.3" customHeight="1" x14ac:dyDescent="0.2">
      <c r="N2"/>
      <c r="O2" s="826"/>
      <c r="P2" s="826"/>
      <c r="Q2" s="826"/>
      <c r="R2" s="914"/>
      <c r="S2" s="914"/>
      <c r="T2" s="826"/>
      <c r="U2" s="826"/>
      <c r="V2" s="826"/>
      <c r="W2" s="914"/>
    </row>
    <row r="3" spans="1:23" ht="44.55" customHeight="1" x14ac:dyDescent="0.2">
      <c r="A3" s="915"/>
      <c r="B3" s="916"/>
      <c r="C3" s="916"/>
      <c r="D3" s="916"/>
      <c r="E3" s="916"/>
      <c r="F3" s="916"/>
      <c r="G3" s="916"/>
      <c r="N3"/>
      <c r="O3" s="917"/>
      <c r="P3" s="917"/>
      <c r="Q3" s="826"/>
      <c r="R3" s="914"/>
      <c r="S3" s="914"/>
      <c r="T3" s="917"/>
      <c r="U3" s="917"/>
      <c r="V3" s="826"/>
      <c r="W3" s="914"/>
    </row>
    <row r="4" spans="1:23" ht="15.3" customHeight="1" thickBot="1" x14ac:dyDescent="0.25">
      <c r="N4"/>
      <c r="O4" s="826"/>
      <c r="P4" s="826"/>
      <c r="Q4" s="826"/>
      <c r="R4" s="914"/>
      <c r="S4" s="914"/>
      <c r="T4" s="826"/>
      <c r="U4" s="826"/>
      <c r="V4" s="826"/>
      <c r="W4" s="914"/>
    </row>
    <row r="5" spans="1:23" ht="25.5" customHeight="1" thickBot="1" x14ac:dyDescent="0.25">
      <c r="A5" s="918" t="s">
        <v>1012</v>
      </c>
      <c r="B5" s="919"/>
      <c r="C5" s="920"/>
      <c r="D5" s="921"/>
      <c r="E5" s="918" t="s">
        <v>1013</v>
      </c>
      <c r="F5" s="919"/>
      <c r="G5" s="920"/>
      <c r="H5" s="922" t="s">
        <v>647</v>
      </c>
      <c r="I5" s="923"/>
      <c r="J5" s="923"/>
      <c r="K5" s="923"/>
      <c r="L5" s="923"/>
      <c r="N5" s="924"/>
      <c r="O5" s="924"/>
      <c r="P5" s="924"/>
      <c r="Q5" s="924"/>
    </row>
    <row r="6" spans="1:23" ht="18" customHeight="1" x14ac:dyDescent="0.2">
      <c r="A6" s="925" t="s">
        <v>115</v>
      </c>
      <c r="B6" s="926" t="s">
        <v>116</v>
      </c>
      <c r="C6" s="927" t="s">
        <v>230</v>
      </c>
      <c r="D6" s="928"/>
      <c r="E6" s="925" t="s">
        <v>115</v>
      </c>
      <c r="F6" s="929" t="s">
        <v>116</v>
      </c>
      <c r="G6" s="930" t="s">
        <v>230</v>
      </c>
      <c r="H6" s="1561" t="str">
        <f>IF(AND(SUMIF($S:$S,"SQ9",$R:$R)=0,ISBLANK('SICI(2)'!F13),ISBLANK('SICI(2)'!F17)),"OK",IF(AND(ABS(SUMIF($S:$S,"SQ9",$R:$R))&gt;0,ISBLANK('SICI(2)'!F13),ISBLANK('SICI(2)'!F17)),"Attenzione: inserire le voci di costituzione del fondo unicamente in presenza di certificazione dello stesso (cfr. SICI GEN353 o GEN355) !",IF(AND(SUMIF($S:$S,"SQ9",$R:$R)=0,SUM('SICI(2)'!F13,'SICI(2)'!F17)&gt;0),"Attenzione: in presenza di date di certificazione del fondo (cfr. SICI GEN353 o GEN355) è necessario compilare il lato costituzione di T15 !","OK")))</f>
        <v>OK</v>
      </c>
      <c r="I6" s="923"/>
      <c r="J6" s="923"/>
      <c r="K6" s="923"/>
      <c r="L6" s="923"/>
      <c r="M6" s="924"/>
      <c r="N6" s="924"/>
      <c r="O6" s="924"/>
      <c r="P6" s="924"/>
      <c r="Q6" s="924"/>
    </row>
    <row r="7" spans="1:23" ht="17.100000000000001" customHeight="1" x14ac:dyDescent="0.3">
      <c r="A7" s="931" t="s">
        <v>648</v>
      </c>
      <c r="B7" s="932"/>
      <c r="C7" s="933"/>
      <c r="D7" s="934"/>
      <c r="E7" s="931" t="s">
        <v>648</v>
      </c>
      <c r="F7" s="932"/>
      <c r="G7" s="933"/>
      <c r="H7" s="1566"/>
      <c r="I7" s="923"/>
      <c r="J7" s="923"/>
      <c r="K7" s="923"/>
      <c r="L7" s="923"/>
      <c r="M7" s="924"/>
      <c r="N7" s="924"/>
      <c r="O7" s="767" t="s">
        <v>649</v>
      </c>
      <c r="P7" s="935"/>
      <c r="Q7" s="936"/>
      <c r="R7" s="936"/>
      <c r="S7" s="914"/>
      <c r="T7" s="767" t="s">
        <v>650</v>
      </c>
      <c r="U7" s="935"/>
      <c r="V7" s="936"/>
      <c r="W7" s="936"/>
    </row>
    <row r="8" spans="1:23" ht="17.100000000000001" customHeight="1" x14ac:dyDescent="0.25">
      <c r="A8" s="937" t="s">
        <v>651</v>
      </c>
      <c r="B8" s="938"/>
      <c r="C8" s="939"/>
      <c r="D8" s="940"/>
      <c r="E8" s="941" t="s">
        <v>864</v>
      </c>
      <c r="F8" s="942"/>
      <c r="G8" s="943"/>
      <c r="H8" s="1566"/>
      <c r="I8" s="923"/>
      <c r="J8" s="923"/>
      <c r="K8" s="923"/>
      <c r="L8" s="923"/>
      <c r="M8" s="924"/>
      <c r="N8" s="924"/>
      <c r="O8" s="768" t="s">
        <v>652</v>
      </c>
      <c r="P8" s="768" t="s">
        <v>653</v>
      </c>
      <c r="Q8" s="768" t="s">
        <v>654</v>
      </c>
      <c r="R8" s="768" t="s">
        <v>655</v>
      </c>
      <c r="S8" s="914"/>
      <c r="T8" s="768" t="s">
        <v>652</v>
      </c>
      <c r="U8" s="768" t="s">
        <v>653</v>
      </c>
      <c r="V8" s="768" t="s">
        <v>654</v>
      </c>
      <c r="W8" s="768" t="s">
        <v>655</v>
      </c>
    </row>
    <row r="9" spans="1:23" ht="17.100000000000001" customHeight="1" x14ac:dyDescent="0.2">
      <c r="A9" s="901" t="s">
        <v>781</v>
      </c>
      <c r="B9" s="927" t="s">
        <v>475</v>
      </c>
      <c r="C9" s="944"/>
      <c r="D9" s="921"/>
      <c r="E9" s="977" t="s">
        <v>915</v>
      </c>
      <c r="F9" s="927" t="s">
        <v>916</v>
      </c>
      <c r="G9" s="944"/>
      <c r="H9" s="1566"/>
      <c r="I9" s="923"/>
      <c r="J9" s="923"/>
      <c r="K9" s="923"/>
      <c r="L9" s="923"/>
      <c r="M9" s="924"/>
      <c r="N9" s="924"/>
      <c r="O9" s="913">
        <v>44</v>
      </c>
      <c r="P9" s="913">
        <v>7</v>
      </c>
      <c r="Q9" s="913" t="str">
        <f>B9</f>
        <v>F76G</v>
      </c>
      <c r="R9" s="945">
        <f>IF(ISNUMBER(C9),ROUND(C9,0),0)</f>
        <v>0</v>
      </c>
      <c r="S9" s="913" t="str">
        <f t="shared" ref="S9:S18" si="0">VLOOKUP(O9,$Q:$R,2,FALSE)</f>
        <v>SQ9</v>
      </c>
      <c r="T9" s="913">
        <v>44</v>
      </c>
      <c r="U9" s="913">
        <v>61</v>
      </c>
      <c r="V9" s="913" t="str">
        <f>F9</f>
        <v>U448</v>
      </c>
      <c r="W9" s="945">
        <f>IF(ISNUMBER(G9),ROUND(G9,0),0)</f>
        <v>0</v>
      </c>
    </row>
    <row r="10" spans="1:23" ht="17.100000000000001" customHeight="1" x14ac:dyDescent="0.2">
      <c r="A10" s="901" t="s">
        <v>801</v>
      </c>
      <c r="B10" s="927" t="s">
        <v>490</v>
      </c>
      <c r="C10" s="944"/>
      <c r="D10" s="921"/>
      <c r="E10" s="901" t="s">
        <v>592</v>
      </c>
      <c r="F10" s="927" t="s">
        <v>487</v>
      </c>
      <c r="G10" s="944"/>
      <c r="H10" s="1566"/>
      <c r="I10" s="923"/>
      <c r="J10" s="923"/>
      <c r="K10" s="923"/>
      <c r="L10" s="923"/>
      <c r="M10" s="924"/>
      <c r="N10" s="924"/>
      <c r="O10" s="913">
        <v>44</v>
      </c>
      <c r="P10" s="913">
        <v>7</v>
      </c>
      <c r="Q10" s="913" t="str">
        <f t="shared" ref="Q10:Q18" si="1">B10</f>
        <v>F11H</v>
      </c>
      <c r="R10" s="945">
        <f t="shared" ref="R10:R17" si="2">IF(ISNUMBER(C10),ROUND(C10,0),0)</f>
        <v>0</v>
      </c>
      <c r="S10" s="913" t="str">
        <f t="shared" si="0"/>
        <v>SQ9</v>
      </c>
      <c r="T10" s="913">
        <v>44</v>
      </c>
      <c r="U10" s="913">
        <v>61</v>
      </c>
      <c r="V10" s="913" t="str">
        <f>F10</f>
        <v>U449</v>
      </c>
      <c r="W10" s="945">
        <f>IF(ISNUMBER(G10),ROUND(G10,0),0)</f>
        <v>0</v>
      </c>
    </row>
    <row r="11" spans="1:23" ht="17.100000000000001" customHeight="1" thickBot="1" x14ac:dyDescent="0.25">
      <c r="A11" s="901" t="s">
        <v>802</v>
      </c>
      <c r="B11" s="927" t="s">
        <v>491</v>
      </c>
      <c r="C11" s="944"/>
      <c r="D11" s="921"/>
      <c r="E11" s="977" t="s">
        <v>965</v>
      </c>
      <c r="F11" s="927" t="s">
        <v>966</v>
      </c>
      <c r="G11" s="944"/>
      <c r="H11" s="1567"/>
      <c r="I11" s="923"/>
      <c r="J11" s="923"/>
      <c r="K11" s="923"/>
      <c r="L11" s="923"/>
      <c r="M11" s="924"/>
      <c r="N11" s="924"/>
      <c r="O11" s="913">
        <v>44</v>
      </c>
      <c r="P11" s="913">
        <v>7</v>
      </c>
      <c r="Q11" s="913" t="str">
        <f t="shared" si="1"/>
        <v>F12H</v>
      </c>
      <c r="R11" s="945">
        <f t="shared" si="2"/>
        <v>0</v>
      </c>
      <c r="S11" s="913" t="str">
        <f t="shared" si="0"/>
        <v>SQ9</v>
      </c>
      <c r="T11" s="913">
        <v>44</v>
      </c>
      <c r="U11" s="913">
        <v>61</v>
      </c>
      <c r="V11" s="913" t="str">
        <f>F11</f>
        <v>U02I</v>
      </c>
      <c r="W11" s="945">
        <f>IF(ISNUMBER(G11),ROUND(G11,0),0)</f>
        <v>0</v>
      </c>
    </row>
    <row r="12" spans="1:23" ht="17.100000000000001" customHeight="1" thickBot="1" x14ac:dyDescent="0.25">
      <c r="A12" s="901" t="s">
        <v>803</v>
      </c>
      <c r="B12" s="927" t="s">
        <v>492</v>
      </c>
      <c r="C12" s="944"/>
      <c r="D12" s="921"/>
      <c r="E12" s="948" t="s">
        <v>584</v>
      </c>
      <c r="F12" s="949" t="s">
        <v>488</v>
      </c>
      <c r="G12" s="944"/>
      <c r="H12" s="950" t="s">
        <v>734</v>
      </c>
      <c r="I12" s="923"/>
      <c r="J12" s="923"/>
      <c r="K12" s="923"/>
      <c r="L12" s="923"/>
      <c r="M12" s="924"/>
      <c r="N12" s="924"/>
      <c r="O12" s="913">
        <v>44</v>
      </c>
      <c r="P12" s="913">
        <v>7</v>
      </c>
      <c r="Q12" s="913" t="str">
        <f t="shared" si="1"/>
        <v>F86G</v>
      </c>
      <c r="R12" s="945">
        <f t="shared" si="2"/>
        <v>0</v>
      </c>
      <c r="S12" s="913" t="str">
        <f t="shared" si="0"/>
        <v>SQ9</v>
      </c>
      <c r="T12" s="952">
        <v>44</v>
      </c>
      <c r="U12" s="952">
        <v>61</v>
      </c>
      <c r="V12" s="952" t="str">
        <f>F12</f>
        <v>U998</v>
      </c>
      <c r="W12" s="953">
        <f>IF(ISNUMBER(G12),ROUND(G12,0),0)</f>
        <v>0</v>
      </c>
    </row>
    <row r="13" spans="1:23" ht="17.100000000000001" customHeight="1" thickBot="1" x14ac:dyDescent="0.25">
      <c r="A13" s="901" t="s">
        <v>854</v>
      </c>
      <c r="B13" s="927" t="s">
        <v>855</v>
      </c>
      <c r="C13" s="944"/>
      <c r="D13" s="921"/>
      <c r="E13" s="954" t="s">
        <v>865</v>
      </c>
      <c r="F13" s="1003"/>
      <c r="G13" s="1004">
        <f>SUM(G9:G12)</f>
        <v>0</v>
      </c>
      <c r="H13" s="1561" t="str">
        <f>IF(LEN(H17&amp;H18&amp;H19&amp;H20)&gt;0,"Attenzione, le seguenti voci creano incongruenza perché magg. del 10% del totale:","OK")</f>
        <v>OK</v>
      </c>
      <c r="I13" s="923"/>
      <c r="J13" s="923"/>
      <c r="K13" s="923"/>
      <c r="L13" s="923"/>
      <c r="M13" s="924"/>
      <c r="N13" s="924"/>
      <c r="O13" s="913">
        <v>44</v>
      </c>
      <c r="P13" s="913">
        <v>7</v>
      </c>
      <c r="Q13" s="913" t="str">
        <f t="shared" si="1"/>
        <v>F11X</v>
      </c>
      <c r="R13" s="945">
        <f t="shared" si="2"/>
        <v>0</v>
      </c>
      <c r="S13" s="913" t="str">
        <f t="shared" si="0"/>
        <v>SQ9</v>
      </c>
      <c r="T13" s="913" t="s">
        <v>547</v>
      </c>
      <c r="U13" s="913"/>
      <c r="V13" s="913"/>
      <c r="W13" s="913"/>
    </row>
    <row r="14" spans="1:23" ht="17.100000000000001" customHeight="1" thickBot="1" x14ac:dyDescent="0.3">
      <c r="A14" s="946" t="s">
        <v>1190</v>
      </c>
      <c r="B14" s="947" t="s">
        <v>1139</v>
      </c>
      <c r="C14" s="944"/>
      <c r="D14" s="921"/>
      <c r="E14" s="1005" t="s">
        <v>582</v>
      </c>
      <c r="F14" s="1006"/>
      <c r="G14" s="1007">
        <f>G13</f>
        <v>0</v>
      </c>
      <c r="H14" s="1564"/>
      <c r="I14" s="923"/>
      <c r="J14" s="923"/>
      <c r="K14" s="923"/>
      <c r="L14" s="923"/>
      <c r="M14" s="924"/>
      <c r="N14" s="924"/>
      <c r="O14" s="913">
        <v>44</v>
      </c>
      <c r="P14" s="913">
        <v>7</v>
      </c>
      <c r="Q14" s="913" t="str">
        <f t="shared" si="1"/>
        <v>F27L</v>
      </c>
      <c r="R14" s="945">
        <f t="shared" si="2"/>
        <v>0</v>
      </c>
      <c r="S14" s="913" t="str">
        <f t="shared" si="0"/>
        <v>SQ9</v>
      </c>
      <c r="T14" s="913"/>
      <c r="U14" s="913"/>
      <c r="V14" s="913"/>
      <c r="W14" s="913"/>
    </row>
    <row r="15" spans="1:23" ht="17.100000000000001" customHeight="1" x14ac:dyDescent="0.2">
      <c r="A15" s="901" t="s">
        <v>804</v>
      </c>
      <c r="B15" s="927" t="s">
        <v>493</v>
      </c>
      <c r="C15" s="944"/>
      <c r="D15" s="1008"/>
      <c r="E15" s="1009"/>
      <c r="F15" s="1010"/>
      <c r="G15" s="1011"/>
      <c r="H15" s="961"/>
      <c r="I15" s="923"/>
      <c r="J15" s="923"/>
      <c r="K15" s="923"/>
      <c r="L15" s="923"/>
      <c r="M15" s="924"/>
      <c r="N15" s="924"/>
      <c r="O15" s="913">
        <v>44</v>
      </c>
      <c r="P15" s="913">
        <v>7</v>
      </c>
      <c r="Q15" s="913" t="str">
        <f>B15</f>
        <v>F13H</v>
      </c>
      <c r="R15" s="945">
        <f>IF(ISNUMBER(C15),ROUND(C15,0),0)</f>
        <v>0</v>
      </c>
      <c r="S15" s="913" t="str">
        <f t="shared" si="0"/>
        <v>SQ9</v>
      </c>
      <c r="T15" s="913"/>
      <c r="U15" s="913"/>
      <c r="V15" s="913"/>
      <c r="W15" s="913"/>
    </row>
    <row r="16" spans="1:23" ht="17.100000000000001" customHeight="1" x14ac:dyDescent="0.2">
      <c r="A16" s="901" t="s">
        <v>805</v>
      </c>
      <c r="B16" s="927" t="s">
        <v>494</v>
      </c>
      <c r="C16" s="944"/>
      <c r="D16" s="1008"/>
      <c r="E16" s="1009"/>
      <c r="F16" s="1010"/>
      <c r="G16" s="1011"/>
      <c r="H16" s="961"/>
      <c r="I16" s="923"/>
      <c r="J16" s="923"/>
      <c r="K16" s="923"/>
      <c r="L16" s="923"/>
      <c r="M16" s="924"/>
      <c r="N16" s="924"/>
      <c r="O16" s="913">
        <v>44</v>
      </c>
      <c r="P16" s="913">
        <v>7</v>
      </c>
      <c r="Q16" s="913" t="str">
        <f t="shared" si="1"/>
        <v>F62B</v>
      </c>
      <c r="R16" s="945">
        <f t="shared" si="2"/>
        <v>0</v>
      </c>
      <c r="S16" s="913" t="str">
        <f t="shared" si="0"/>
        <v>SQ9</v>
      </c>
      <c r="T16" s="965"/>
      <c r="U16" s="965"/>
      <c r="V16" s="913"/>
      <c r="W16" s="945"/>
    </row>
    <row r="17" spans="1:23" ht="17.100000000000001" customHeight="1" x14ac:dyDescent="0.25">
      <c r="A17" s="901" t="s">
        <v>999</v>
      </c>
      <c r="B17" s="966" t="s">
        <v>866</v>
      </c>
      <c r="C17" s="944"/>
      <c r="D17" s="1008"/>
      <c r="E17" s="1008"/>
      <c r="F17" s="1012"/>
      <c r="G17" s="1011"/>
      <c r="H17" s="968" t="str">
        <f>IF(C42&lt;&gt;0,IF(R18/ABS(C$42)&gt;0.1,"Fondo posizione e risultato - Altre risorse fisse - F00O",""),"")</f>
        <v/>
      </c>
      <c r="I17" s="923"/>
      <c r="J17" s="923"/>
      <c r="K17" s="923"/>
      <c r="L17" s="923"/>
      <c r="M17" s="924"/>
      <c r="N17" s="924"/>
      <c r="O17" s="913">
        <v>44</v>
      </c>
      <c r="P17" s="913">
        <v>7</v>
      </c>
      <c r="Q17" s="913" t="str">
        <f t="shared" si="1"/>
        <v>F16L</v>
      </c>
      <c r="R17" s="945">
        <f t="shared" si="2"/>
        <v>0</v>
      </c>
      <c r="S17" s="913" t="str">
        <f t="shared" si="0"/>
        <v>SQ9</v>
      </c>
      <c r="T17" s="965"/>
      <c r="U17" s="965"/>
      <c r="V17" s="913"/>
      <c r="W17" s="945"/>
    </row>
    <row r="18" spans="1:23" ht="17.100000000000001" customHeight="1" x14ac:dyDescent="0.25">
      <c r="A18" s="901" t="s">
        <v>917</v>
      </c>
      <c r="B18" s="966" t="s">
        <v>918</v>
      </c>
      <c r="C18" s="944"/>
      <c r="D18" s="921"/>
      <c r="E18" s="1013"/>
      <c r="F18" s="1012"/>
      <c r="G18" s="1011"/>
      <c r="H18" s="968" t="str">
        <f>IF(C42&lt;&gt;0,IF(R33/ABS(C$42)&gt;0.1,"Fondo posizione e risultato - Altre risorse variabili - F00O",""),"")</f>
        <v/>
      </c>
      <c r="I18" s="923"/>
      <c r="J18" s="923"/>
      <c r="K18" s="923"/>
      <c r="L18" s="923"/>
      <c r="M18" s="924"/>
      <c r="N18" s="924"/>
      <c r="O18" s="952">
        <v>44</v>
      </c>
      <c r="P18" s="952">
        <v>7</v>
      </c>
      <c r="Q18" s="952" t="str">
        <f t="shared" si="1"/>
        <v>F00O</v>
      </c>
      <c r="R18" s="953">
        <f>IF(ISNUMBER(C18),ROUND(C18,0),0)</f>
        <v>0</v>
      </c>
      <c r="S18" s="913" t="str">
        <f t="shared" si="0"/>
        <v>SQ9</v>
      </c>
      <c r="U18" s="913"/>
      <c r="V18" s="913"/>
      <c r="W18" s="913"/>
    </row>
    <row r="19" spans="1:23" ht="17.100000000000001" customHeight="1" thickBot="1" x14ac:dyDescent="0.3">
      <c r="A19" s="1014" t="s">
        <v>345</v>
      </c>
      <c r="B19" s="1003"/>
      <c r="C19" s="1004">
        <f>SUM(C9:C18)</f>
        <v>0</v>
      </c>
      <c r="D19" s="921"/>
      <c r="E19" s="1008"/>
      <c r="F19" s="1012"/>
      <c r="G19" s="1011"/>
      <c r="H19" s="968" t="str">
        <f>IF(C42&lt;&gt;0,IF(R40/ABS(C$42)&gt;0.1,"Fondo posizione e risultato - Altre decurtazioni - F01P",""),"")</f>
        <v/>
      </c>
      <c r="I19" s="923"/>
      <c r="J19" s="923"/>
      <c r="K19" s="923"/>
      <c r="L19" s="923"/>
      <c r="M19" s="924"/>
      <c r="N19" s="924"/>
      <c r="S19" s="913"/>
      <c r="T19" s="913"/>
      <c r="U19" s="913"/>
      <c r="V19" s="913"/>
      <c r="W19" s="913"/>
    </row>
    <row r="20" spans="1:23" ht="17.100000000000001" customHeight="1" x14ac:dyDescent="0.25">
      <c r="A20" s="1015" t="s">
        <v>346</v>
      </c>
      <c r="B20" s="1016"/>
      <c r="C20" s="1017"/>
      <c r="D20" s="921"/>
      <c r="E20" s="1008"/>
      <c r="F20" s="1012"/>
      <c r="G20" s="1011"/>
      <c r="H20" s="968" t="str">
        <f>IF(G14&lt;&gt;0,IF(W12/ABS(G43)&gt;0.1,"Fondo posizione e risultato - Altre destinazioni - U998",""),"")</f>
        <v/>
      </c>
      <c r="I20" s="924"/>
      <c r="J20" s="924"/>
      <c r="K20" s="924"/>
      <c r="T20" s="913"/>
      <c r="U20" s="913"/>
      <c r="V20" s="913"/>
      <c r="W20" s="913"/>
    </row>
    <row r="21" spans="1:23" ht="17.100000000000001" customHeight="1" thickBot="1" x14ac:dyDescent="0.3">
      <c r="A21" s="901" t="s">
        <v>748</v>
      </c>
      <c r="B21" s="927" t="s">
        <v>481</v>
      </c>
      <c r="C21" s="944"/>
      <c r="D21" s="921"/>
      <c r="E21" s="1008"/>
      <c r="F21" s="1012"/>
      <c r="G21" s="1011"/>
      <c r="H21" s="1018"/>
      <c r="I21" s="924"/>
      <c r="J21" s="924"/>
      <c r="K21" s="924"/>
      <c r="O21" s="965">
        <v>44</v>
      </c>
      <c r="P21" s="965">
        <v>9</v>
      </c>
      <c r="Q21" s="913" t="str">
        <f>B21</f>
        <v>F50H</v>
      </c>
      <c r="R21" s="945">
        <f>IF(ISNUMBER(C21),ROUND(C21,0),0)</f>
        <v>0</v>
      </c>
      <c r="S21" s="913" t="str">
        <f t="shared" ref="S21:S33" si="3">VLOOKUP(O21,$Q:$R,2,FALSE)</f>
        <v>SQ9</v>
      </c>
      <c r="T21" s="913"/>
      <c r="U21" s="913"/>
      <c r="V21" s="913"/>
      <c r="W21" s="913"/>
    </row>
    <row r="22" spans="1:23" ht="17.100000000000001" customHeight="1" thickBot="1" x14ac:dyDescent="0.25">
      <c r="A22" s="977" t="s">
        <v>749</v>
      </c>
      <c r="B22" s="927" t="s">
        <v>482</v>
      </c>
      <c r="C22" s="944"/>
      <c r="D22" s="921"/>
      <c r="E22" s="1008"/>
      <c r="F22" s="1012"/>
      <c r="G22" s="1011"/>
      <c r="H22" s="950" t="s">
        <v>1014</v>
      </c>
      <c r="I22" s="924"/>
      <c r="J22" s="924"/>
      <c r="K22" s="924"/>
      <c r="O22" s="965">
        <v>44</v>
      </c>
      <c r="P22" s="965">
        <v>9</v>
      </c>
      <c r="Q22" s="913" t="str">
        <f t="shared" ref="Q22:Q32" si="4">B22</f>
        <v>F51H</v>
      </c>
      <c r="R22" s="945">
        <f t="shared" ref="R22:R32" si="5">IF(ISNUMBER(C22),ROUND(C22,0),0)</f>
        <v>0</v>
      </c>
      <c r="S22" s="913" t="str">
        <f t="shared" si="3"/>
        <v>SQ9</v>
      </c>
      <c r="T22" s="913"/>
      <c r="U22" s="913"/>
      <c r="V22" s="913"/>
      <c r="W22" s="913"/>
    </row>
    <row r="23" spans="1:23" ht="17.100000000000001" customHeight="1" x14ac:dyDescent="0.2">
      <c r="A23" s="977" t="s">
        <v>919</v>
      </c>
      <c r="B23" s="927" t="s">
        <v>920</v>
      </c>
      <c r="C23" s="944"/>
      <c r="D23" s="921"/>
      <c r="E23" s="1008"/>
      <c r="F23" s="1012"/>
      <c r="G23" s="1011"/>
      <c r="H23" s="1564" t="str">
        <f>IF(AND(SUMIF($O:$O,$Q1,$R:$R)&lt;&gt;0,SUM('SICI(2)'!$F$13,'SICI(2)'!$F$17)&gt;0),IF(SUMIFS($R:$R,$P:$P,"&lt;&gt;81",$O:$O,$Q1)-SUMIFS($R:$R,$P:$P,"81",$O:$O,$Q1)-SUMIF($T:$T,$Q1,$W:$W)&lt;0,"Attenzione, nelle seguenti sezioni le destinazioni risultano superiori alle relative risorse e generano pertanto squadratura 8: "&amp;CHAR(10)&amp;A7,"OK"),"OK")</f>
        <v>OK</v>
      </c>
      <c r="O23" s="965">
        <v>44</v>
      </c>
      <c r="P23" s="965">
        <v>9</v>
      </c>
      <c r="Q23" s="913" t="str">
        <f t="shared" si="4"/>
        <v>F19S</v>
      </c>
      <c r="R23" s="945">
        <f t="shared" si="5"/>
        <v>0</v>
      </c>
      <c r="S23" s="913" t="str">
        <f t="shared" si="3"/>
        <v>SQ9</v>
      </c>
      <c r="T23" s="913"/>
      <c r="U23" s="913"/>
      <c r="V23" s="913"/>
      <c r="W23" s="913"/>
    </row>
    <row r="24" spans="1:23" ht="17.100000000000001" customHeight="1" x14ac:dyDescent="0.2">
      <c r="A24" s="901" t="s">
        <v>750</v>
      </c>
      <c r="B24" s="927" t="s">
        <v>583</v>
      </c>
      <c r="C24" s="944"/>
      <c r="D24" s="921"/>
      <c r="E24" s="1008"/>
      <c r="F24" s="1012"/>
      <c r="G24" s="1011"/>
      <c r="H24" s="1564"/>
      <c r="O24" s="965">
        <v>44</v>
      </c>
      <c r="P24" s="965">
        <v>9</v>
      </c>
      <c r="Q24" s="913" t="str">
        <f t="shared" si="4"/>
        <v>F96H</v>
      </c>
      <c r="R24" s="945">
        <f t="shared" si="5"/>
        <v>0</v>
      </c>
      <c r="S24" s="913" t="str">
        <f t="shared" si="3"/>
        <v>SQ9</v>
      </c>
      <c r="T24" s="913"/>
      <c r="U24" s="913"/>
      <c r="V24" s="913"/>
      <c r="W24" s="913"/>
    </row>
    <row r="25" spans="1:23" ht="17.100000000000001" customHeight="1" x14ac:dyDescent="0.2">
      <c r="A25" s="901" t="s">
        <v>1140</v>
      </c>
      <c r="B25" s="927" t="s">
        <v>853</v>
      </c>
      <c r="C25" s="944"/>
      <c r="D25" s="921"/>
      <c r="E25" s="1008"/>
      <c r="F25" s="1012"/>
      <c r="G25" s="1011"/>
      <c r="H25" s="1564"/>
      <c r="O25" s="965">
        <v>44</v>
      </c>
      <c r="P25" s="965">
        <v>9</v>
      </c>
      <c r="Q25" s="913" t="str">
        <f t="shared" si="4"/>
        <v>F11Y</v>
      </c>
      <c r="R25" s="945">
        <f t="shared" si="5"/>
        <v>0</v>
      </c>
      <c r="S25" s="913" t="str">
        <f t="shared" si="3"/>
        <v>SQ9</v>
      </c>
      <c r="T25" s="913"/>
      <c r="U25" s="913"/>
      <c r="V25" s="913"/>
      <c r="W25" s="913"/>
    </row>
    <row r="26" spans="1:23" ht="17.100000000000001" customHeight="1" thickBot="1" x14ac:dyDescent="0.25">
      <c r="A26" s="901" t="s">
        <v>808</v>
      </c>
      <c r="B26" s="927" t="s">
        <v>495</v>
      </c>
      <c r="C26" s="944"/>
      <c r="D26" s="921"/>
      <c r="E26" s="1008"/>
      <c r="F26" s="1012"/>
      <c r="G26" s="1011"/>
      <c r="H26" s="1565"/>
      <c r="O26" s="965">
        <v>44</v>
      </c>
      <c r="P26" s="965">
        <v>9</v>
      </c>
      <c r="Q26" s="913" t="str">
        <f t="shared" si="4"/>
        <v>F63B</v>
      </c>
      <c r="R26" s="945">
        <f t="shared" si="5"/>
        <v>0</v>
      </c>
      <c r="S26" s="913" t="str">
        <f t="shared" si="3"/>
        <v>SQ9</v>
      </c>
      <c r="T26" s="913"/>
      <c r="U26" s="913"/>
      <c r="V26" s="913"/>
      <c r="W26" s="913"/>
    </row>
    <row r="27" spans="1:23" ht="17.100000000000001" customHeight="1" x14ac:dyDescent="0.2">
      <c r="A27" s="901" t="s">
        <v>809</v>
      </c>
      <c r="B27" s="927" t="s">
        <v>496</v>
      </c>
      <c r="C27" s="944"/>
      <c r="D27" s="921"/>
      <c r="E27" s="1008"/>
      <c r="F27" s="1012"/>
      <c r="G27" s="1011"/>
      <c r="O27" s="965">
        <v>44</v>
      </c>
      <c r="P27" s="965">
        <v>9</v>
      </c>
      <c r="Q27" s="913" t="str">
        <f t="shared" si="4"/>
        <v>F64B</v>
      </c>
      <c r="R27" s="945">
        <f t="shared" si="5"/>
        <v>0</v>
      </c>
      <c r="S27" s="913" t="str">
        <f t="shared" si="3"/>
        <v>SQ9</v>
      </c>
      <c r="T27" s="913"/>
      <c r="U27" s="913"/>
      <c r="V27" s="913"/>
      <c r="W27" s="913"/>
    </row>
    <row r="28" spans="1:23" ht="17.100000000000001" customHeight="1" x14ac:dyDescent="0.2">
      <c r="A28" s="901" t="s">
        <v>810</v>
      </c>
      <c r="B28" s="927" t="s">
        <v>497</v>
      </c>
      <c r="C28" s="944"/>
      <c r="D28" s="921"/>
      <c r="E28" s="1008"/>
      <c r="F28" s="1012"/>
      <c r="G28" s="1011"/>
      <c r="O28" s="965">
        <v>44</v>
      </c>
      <c r="P28" s="965">
        <v>9</v>
      </c>
      <c r="Q28" s="913" t="str">
        <f t="shared" si="4"/>
        <v>F65B</v>
      </c>
      <c r="R28" s="945">
        <f t="shared" si="5"/>
        <v>0</v>
      </c>
      <c r="S28" s="913" t="str">
        <f t="shared" si="3"/>
        <v>SQ9</v>
      </c>
      <c r="T28" s="913"/>
      <c r="U28" s="913"/>
      <c r="V28" s="913"/>
      <c r="W28" s="913"/>
    </row>
    <row r="29" spans="1:23" ht="17.100000000000001" customHeight="1" x14ac:dyDescent="0.2">
      <c r="A29" s="901" t="s">
        <v>806</v>
      </c>
      <c r="B29" s="927" t="s">
        <v>498</v>
      </c>
      <c r="C29" s="944"/>
      <c r="D29" s="921"/>
      <c r="E29" s="1008"/>
      <c r="F29" s="1012"/>
      <c r="G29" s="1011"/>
      <c r="O29" s="965">
        <v>44</v>
      </c>
      <c r="P29" s="965">
        <v>9</v>
      </c>
      <c r="Q29" s="913" t="str">
        <f t="shared" si="4"/>
        <v>F14H</v>
      </c>
      <c r="R29" s="945">
        <f t="shared" si="5"/>
        <v>0</v>
      </c>
      <c r="S29" s="913" t="str">
        <f t="shared" si="3"/>
        <v>SQ9</v>
      </c>
      <c r="T29" s="913"/>
      <c r="U29" s="913"/>
      <c r="V29" s="913"/>
      <c r="W29" s="913"/>
    </row>
    <row r="30" spans="1:23" ht="17.100000000000001" customHeight="1" x14ac:dyDescent="0.2">
      <c r="A30" s="901" t="s">
        <v>807</v>
      </c>
      <c r="B30" s="927" t="s">
        <v>499</v>
      </c>
      <c r="C30" s="944"/>
      <c r="D30" s="921"/>
      <c r="E30" s="1008"/>
      <c r="F30" s="1012"/>
      <c r="G30" s="1011"/>
      <c r="O30" s="965">
        <v>44</v>
      </c>
      <c r="P30" s="965">
        <v>9</v>
      </c>
      <c r="Q30" s="913" t="str">
        <f t="shared" si="4"/>
        <v>F57B</v>
      </c>
      <c r="R30" s="945">
        <f t="shared" si="5"/>
        <v>0</v>
      </c>
      <c r="S30" s="913" t="str">
        <f t="shared" si="3"/>
        <v>SQ9</v>
      </c>
      <c r="T30" s="913"/>
      <c r="U30" s="913"/>
      <c r="V30" s="913"/>
      <c r="W30" s="913"/>
    </row>
    <row r="31" spans="1:23" ht="17.100000000000001" customHeight="1" x14ac:dyDescent="0.2">
      <c r="A31" s="901" t="s">
        <v>1135</v>
      </c>
      <c r="B31" s="1371" t="s">
        <v>1136</v>
      </c>
      <c r="C31" s="944"/>
      <c r="D31" s="921"/>
      <c r="E31" s="1008"/>
      <c r="F31" s="1012"/>
      <c r="G31" s="1011"/>
      <c r="O31" s="965">
        <v>44</v>
      </c>
      <c r="P31" s="965">
        <v>9</v>
      </c>
      <c r="Q31" s="913" t="str">
        <f>B31</f>
        <v>F24T</v>
      </c>
      <c r="R31" s="945">
        <f>IF(ISNUMBER(C31),ROUND(C31,0),0)</f>
        <v>0</v>
      </c>
      <c r="S31" s="913" t="str">
        <f t="shared" si="3"/>
        <v>SQ9</v>
      </c>
      <c r="T31" s="913"/>
      <c r="U31" s="913"/>
      <c r="V31" s="913"/>
      <c r="W31" s="913"/>
    </row>
    <row r="32" spans="1:23" ht="17.100000000000001" customHeight="1" x14ac:dyDescent="0.2">
      <c r="A32" s="946" t="s">
        <v>1137</v>
      </c>
      <c r="B32" s="947" t="s">
        <v>486</v>
      </c>
      <c r="C32" s="944"/>
      <c r="D32" s="921"/>
      <c r="E32" s="1008"/>
      <c r="F32" s="1012"/>
      <c r="G32" s="1011"/>
      <c r="O32" s="965">
        <v>44</v>
      </c>
      <c r="P32" s="965">
        <v>9</v>
      </c>
      <c r="Q32" s="913" t="str">
        <f t="shared" si="4"/>
        <v>F999</v>
      </c>
      <c r="R32" s="945">
        <f t="shared" si="5"/>
        <v>0</v>
      </c>
      <c r="S32" s="913" t="str">
        <f t="shared" si="3"/>
        <v>SQ9</v>
      </c>
      <c r="T32" s="913"/>
      <c r="U32" s="913"/>
      <c r="V32" s="913"/>
      <c r="W32" s="913"/>
    </row>
    <row r="33" spans="1:23" ht="17.100000000000001" customHeight="1" x14ac:dyDescent="0.2">
      <c r="A33" s="901" t="s">
        <v>917</v>
      </c>
      <c r="B33" s="966" t="s">
        <v>918</v>
      </c>
      <c r="C33" s="944"/>
      <c r="D33" s="921"/>
      <c r="E33" s="1008"/>
      <c r="F33" s="1012"/>
      <c r="G33" s="1011"/>
      <c r="O33" s="979">
        <v>44</v>
      </c>
      <c r="P33" s="979">
        <v>9</v>
      </c>
      <c r="Q33" s="952" t="str">
        <f>B33</f>
        <v>F00O</v>
      </c>
      <c r="R33" s="953">
        <f>IF(ISNUMBER(C33),ROUND(C33,0),0)</f>
        <v>0</v>
      </c>
      <c r="S33" s="913" t="str">
        <f t="shared" si="3"/>
        <v>SQ9</v>
      </c>
      <c r="T33" s="913"/>
      <c r="U33" s="913"/>
      <c r="V33" s="913"/>
      <c r="W33" s="913"/>
    </row>
    <row r="34" spans="1:23" ht="17.100000000000001" customHeight="1" thickBot="1" x14ac:dyDescent="0.25">
      <c r="A34" s="1014" t="s">
        <v>347</v>
      </c>
      <c r="B34" s="1003"/>
      <c r="C34" s="1004">
        <f>SUM(C21:C33)</f>
        <v>0</v>
      </c>
      <c r="D34" s="921"/>
      <c r="E34" s="1008"/>
      <c r="F34" s="1012"/>
      <c r="G34" s="1011"/>
      <c r="S34" s="913"/>
      <c r="T34" s="913"/>
      <c r="U34" s="913"/>
      <c r="V34" s="913"/>
      <c r="W34" s="913"/>
    </row>
    <row r="35" spans="1:23" ht="17.100000000000001" customHeight="1" x14ac:dyDescent="0.25">
      <c r="A35" s="1019" t="s">
        <v>729</v>
      </c>
      <c r="B35" s="1016"/>
      <c r="C35" s="1020"/>
      <c r="D35" s="921"/>
      <c r="E35" s="1008"/>
      <c r="F35" s="1012"/>
      <c r="G35" s="1011"/>
      <c r="T35" s="913"/>
      <c r="U35" s="913"/>
      <c r="V35" s="913"/>
      <c r="W35" s="913"/>
    </row>
    <row r="36" spans="1:23" ht="17.100000000000001" customHeight="1" x14ac:dyDescent="0.2">
      <c r="A36" s="901" t="s">
        <v>754</v>
      </c>
      <c r="B36" s="927" t="s">
        <v>730</v>
      </c>
      <c r="C36" s="944"/>
      <c r="D36" s="921"/>
      <c r="E36" s="1008"/>
      <c r="F36" s="1012"/>
      <c r="G36" s="1011"/>
      <c r="O36" s="913">
        <v>44</v>
      </c>
      <c r="P36" s="913">
        <v>81</v>
      </c>
      <c r="Q36" s="913" t="str">
        <f>B36</f>
        <v>F02P</v>
      </c>
      <c r="R36" s="945">
        <f>IF(ISNUMBER(C36),ROUND(C36,0),0)</f>
        <v>0</v>
      </c>
      <c r="S36" s="913" t="str">
        <f>VLOOKUP(O36,$Q:$R,2,FALSE)</f>
        <v>SQ9</v>
      </c>
      <c r="T36" s="913"/>
      <c r="U36" s="913"/>
      <c r="V36" s="913"/>
      <c r="W36" s="913"/>
    </row>
    <row r="37" spans="1:23" ht="17.100000000000001" customHeight="1" x14ac:dyDescent="0.2">
      <c r="A37" s="901" t="s">
        <v>755</v>
      </c>
      <c r="B37" s="927" t="s">
        <v>615</v>
      </c>
      <c r="C37" s="944"/>
      <c r="D37" s="921"/>
      <c r="E37" s="1008"/>
      <c r="F37" s="1012"/>
      <c r="G37" s="1011"/>
      <c r="O37" s="913">
        <v>44</v>
      </c>
      <c r="P37" s="913">
        <v>81</v>
      </c>
      <c r="Q37" s="913" t="str">
        <f>B37</f>
        <v>F27I</v>
      </c>
      <c r="R37" s="945">
        <f>IF(ISNUMBER(C37),ROUND(C37,0),0)</f>
        <v>0</v>
      </c>
      <c r="S37" s="913" t="str">
        <f>VLOOKUP(O37,$Q:$R,2,FALSE)</f>
        <v>SQ9</v>
      </c>
      <c r="T37" s="913"/>
      <c r="U37" s="913"/>
      <c r="V37" s="913"/>
      <c r="W37" s="913"/>
    </row>
    <row r="38" spans="1:23" ht="17.100000000000001" customHeight="1" x14ac:dyDescent="0.2">
      <c r="A38" s="901" t="s">
        <v>800</v>
      </c>
      <c r="B38" s="927" t="s">
        <v>731</v>
      </c>
      <c r="C38" s="944"/>
      <c r="D38" s="921"/>
      <c r="E38" s="1008"/>
      <c r="F38" s="1012"/>
      <c r="G38" s="1011"/>
      <c r="O38" s="913">
        <v>44</v>
      </c>
      <c r="P38" s="913">
        <v>81</v>
      </c>
      <c r="Q38" s="913" t="str">
        <f>B38</f>
        <v>F00P</v>
      </c>
      <c r="R38" s="945">
        <f>IF(ISNUMBER(C38),ROUND(C38,0),0)</f>
        <v>0</v>
      </c>
      <c r="S38" s="913" t="str">
        <f>VLOOKUP(O38,$Q:$R,2,FALSE)</f>
        <v>SQ9</v>
      </c>
      <c r="T38" s="913"/>
      <c r="U38" s="913"/>
      <c r="V38" s="913"/>
      <c r="W38" s="913"/>
    </row>
    <row r="39" spans="1:23" ht="17.100000000000001" customHeight="1" x14ac:dyDescent="0.2">
      <c r="A39" s="901" t="s">
        <v>756</v>
      </c>
      <c r="B39" s="989" t="s">
        <v>757</v>
      </c>
      <c r="C39" s="944"/>
      <c r="D39" s="921"/>
      <c r="E39" s="1008"/>
      <c r="F39" s="1012"/>
      <c r="G39" s="1011"/>
      <c r="O39" s="913">
        <v>44</v>
      </c>
      <c r="P39" s="913">
        <v>81</v>
      </c>
      <c r="Q39" s="913" t="str">
        <f>B39</f>
        <v>F01S</v>
      </c>
      <c r="R39" s="945">
        <f>IF(ISNUMBER(C39),ROUND(C39,0),0)</f>
        <v>0</v>
      </c>
      <c r="S39" s="913" t="str">
        <f>VLOOKUP(O39,$Q:$R,2,FALSE)</f>
        <v>SQ9</v>
      </c>
      <c r="T39" s="913"/>
      <c r="U39" s="913"/>
      <c r="V39" s="913"/>
      <c r="W39" s="913"/>
    </row>
    <row r="40" spans="1:23" ht="17.100000000000001" customHeight="1" x14ac:dyDescent="0.2">
      <c r="A40" s="901" t="s">
        <v>921</v>
      </c>
      <c r="B40" s="966" t="s">
        <v>732</v>
      </c>
      <c r="C40" s="944"/>
      <c r="D40" s="921"/>
      <c r="E40" s="1008"/>
      <c r="F40" s="1012"/>
      <c r="G40" s="1011"/>
      <c r="O40" s="952">
        <v>44</v>
      </c>
      <c r="P40" s="952">
        <v>81</v>
      </c>
      <c r="Q40" s="952" t="str">
        <f>B40</f>
        <v>F01P</v>
      </c>
      <c r="R40" s="953">
        <f>IF(ISNUMBER(C40),ROUND(C40,0),0)</f>
        <v>0</v>
      </c>
      <c r="S40" s="913" t="str">
        <f>VLOOKUP(O40,$Q:$R,2,FALSE)</f>
        <v>SQ9</v>
      </c>
      <c r="T40" s="913"/>
      <c r="U40" s="913"/>
      <c r="V40" s="913"/>
      <c r="W40" s="913"/>
    </row>
    <row r="41" spans="1:23" ht="17.25" customHeight="1" thickBot="1" x14ac:dyDescent="0.25">
      <c r="A41" s="1021" t="s">
        <v>733</v>
      </c>
      <c r="B41" s="1022"/>
      <c r="C41" s="1023">
        <f>SUM(C36:C40)</f>
        <v>0</v>
      </c>
      <c r="D41" s="921"/>
      <c r="E41" s="1008"/>
      <c r="F41" s="1012"/>
      <c r="G41" s="1011"/>
      <c r="O41" s="913" t="s">
        <v>547</v>
      </c>
      <c r="P41" s="913"/>
      <c r="Q41" s="913"/>
      <c r="R41" s="945"/>
      <c r="S41" s="913"/>
      <c r="T41" s="913"/>
      <c r="U41" s="913"/>
      <c r="V41" s="913"/>
      <c r="W41" s="913"/>
    </row>
    <row r="42" spans="1:23" ht="17.25" customHeight="1" thickBot="1" x14ac:dyDescent="0.3">
      <c r="A42" s="1024" t="s">
        <v>582</v>
      </c>
      <c r="B42" s="1025"/>
      <c r="C42" s="1007">
        <f>C19+C34-C41</f>
        <v>0</v>
      </c>
      <c r="D42" s="921"/>
      <c r="E42" s="1026"/>
      <c r="F42" s="1027"/>
      <c r="G42" s="1028"/>
      <c r="P42" s="913"/>
      <c r="Q42" s="913"/>
      <c r="R42" s="913"/>
      <c r="S42" s="913"/>
      <c r="T42" s="913"/>
      <c r="U42" s="913"/>
      <c r="V42" s="913"/>
      <c r="W42" s="913"/>
    </row>
    <row r="43" spans="1:23" ht="17.100000000000001" customHeight="1" thickBot="1" x14ac:dyDescent="0.3">
      <c r="A43" s="998" t="s">
        <v>922</v>
      </c>
      <c r="B43" s="1025"/>
      <c r="C43" s="1007">
        <f>C42</f>
        <v>0</v>
      </c>
      <c r="E43" s="1000" t="s">
        <v>923</v>
      </c>
      <c r="F43" s="1025"/>
      <c r="G43" s="1007">
        <f>G14</f>
        <v>0</v>
      </c>
      <c r="O43" s="913"/>
      <c r="P43" s="913"/>
      <c r="Q43" s="913"/>
      <c r="R43" s="945"/>
    </row>
    <row r="44" spans="1:23" ht="4.95" customHeight="1" x14ac:dyDescent="0.2"/>
    <row r="45" spans="1:23" ht="11.4" x14ac:dyDescent="0.2">
      <c r="A45" s="825" t="s">
        <v>1015</v>
      </c>
    </row>
    <row r="46" spans="1:23" s="771" customFormat="1" ht="15" x14ac:dyDescent="0.25">
      <c r="A46" s="825" t="s">
        <v>1138</v>
      </c>
      <c r="B46" s="957"/>
      <c r="C46" s="1002"/>
    </row>
    <row r="47" spans="1:23" ht="11.4" x14ac:dyDescent="0.2">
      <c r="A47" s="825" t="s">
        <v>1016</v>
      </c>
    </row>
  </sheetData>
  <sheetProtection algorithmName="SHA-512" hashValue="xvvz8PQhr5gDyM4lpGmkgJg+dxJHHuLv63QEpsswEbt4J+7MB9eHEHkqNjwCl6dzO4eODdwKvRP7qyBJCE/5Gw==" saltValue="L/SNkweBJmQZycCOhK6yuA==" spinCount="100000" sheet="1" formatColumns="0" selectLockedCells="1"/>
  <mergeCells count="3">
    <mergeCell ref="H6:H11"/>
    <mergeCell ref="H13:H14"/>
    <mergeCell ref="H23:H26"/>
  </mergeCells>
  <dataValidations count="2">
    <dataValidation type="whole" allowBlank="1" showInputMessage="1" showErrorMessage="1" errorTitle="ERRORE NEL DATO IMMESSO" error="INSERIRE SOLO NUMERI INTERI" sqref="C21:C33 G9:G12 C9:C18 C36:C40" xr:uid="{FF4FF2DB-2501-42AE-A076-7E2F960976D4}">
      <formula1>0</formula1>
      <formula2>999999999999</formula2>
    </dataValidation>
    <dataValidation type="whole" allowBlank="1" showInputMessage="1" showErrorMessage="1" errorTitle="ERRORE NEL DATO IMMESSO" error="INSERIRE SOLO NUMERI INTERI" sqref="C19 C34:C35 G42 G13:G16 C41:C42" xr:uid="{FDF3E5B8-C66F-4941-933F-626502F34397}">
      <formula1>-999999999999</formula1>
      <formula2>999999999999</formula2>
    </dataValidation>
  </dataValidations>
  <printOptions horizontalCentered="1"/>
  <pageMargins left="0.39370078740157483" right="0.39370078740157483" top="0.78740157480314965" bottom="0.39370078740157483" header="0.51181102362204722" footer="0.15748031496062992"/>
  <pageSetup paperSize="9" scale="61" orientation="portrait" horizontalDpi="300" verticalDpi="4294967292"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W45"/>
  <sheetViews>
    <sheetView showGridLines="0" zoomScale="80" zoomScaleNormal="80" workbookViewId="0">
      <selection activeCell="C9" sqref="C9"/>
    </sheetView>
  </sheetViews>
  <sheetFormatPr defaultColWidth="12.7109375" defaultRowHeight="10.199999999999999" x14ac:dyDescent="0.2"/>
  <cols>
    <col min="1" max="1" width="65.7109375" style="825" customWidth="1"/>
    <col min="2" max="2" width="10.7109375" style="913" customWidth="1"/>
    <col min="3" max="3" width="20.7109375" style="825" customWidth="1"/>
    <col min="4" max="4" width="3.28515625" style="825" customWidth="1"/>
    <col min="5" max="5" width="65.7109375" style="825" customWidth="1"/>
    <col min="6" max="6" width="10.7109375" style="825" customWidth="1"/>
    <col min="7" max="7" width="20.7109375" style="825" customWidth="1"/>
    <col min="8" max="8" width="73.28515625" style="825" customWidth="1"/>
    <col min="9" max="14" width="12.7109375" style="825" customWidth="1"/>
    <col min="15" max="18" width="12.7109375" style="825" hidden="1" customWidth="1"/>
    <col min="19" max="19" width="7.28515625" style="825" hidden="1" customWidth="1"/>
    <col min="20" max="23" width="12.7109375" style="825" hidden="1" customWidth="1"/>
    <col min="24" max="27" width="12.7109375" style="825" customWidth="1"/>
    <col min="28" max="16384" width="12.7109375" style="825"/>
  </cols>
  <sheetData>
    <row r="1" spans="1:23" ht="43.5" customHeight="1" x14ac:dyDescent="0.2">
      <c r="A1" s="909" t="str">
        <f>'t1'!$A$1</f>
        <v>ENTI PUBBLICI NON ECONOMICI - anno 2023</v>
      </c>
      <c r="B1" s="910"/>
      <c r="C1" s="910"/>
      <c r="D1" s="910"/>
      <c r="E1" s="910"/>
      <c r="F1" s="910"/>
      <c r="H1" s="911" t="s">
        <v>473</v>
      </c>
      <c r="Q1" s="912">
        <v>45</v>
      </c>
      <c r="R1" s="912" t="s">
        <v>646</v>
      </c>
    </row>
    <row r="2" spans="1:23" ht="15.3" customHeight="1" x14ac:dyDescent="0.2">
      <c r="N2"/>
      <c r="O2" s="826"/>
      <c r="P2" s="826"/>
      <c r="Q2" s="826"/>
      <c r="R2" s="914"/>
      <c r="S2" s="914"/>
      <c r="T2" s="826"/>
      <c r="U2" s="826"/>
      <c r="V2" s="826"/>
      <c r="W2" s="914"/>
    </row>
    <row r="3" spans="1:23" ht="44.55" customHeight="1" x14ac:dyDescent="0.2">
      <c r="A3" s="915"/>
      <c r="B3" s="916"/>
      <c r="C3" s="916"/>
      <c r="D3" s="916"/>
      <c r="E3" s="916"/>
      <c r="F3" s="916"/>
      <c r="G3" s="916"/>
      <c r="N3"/>
      <c r="O3" s="917"/>
      <c r="P3" s="917"/>
      <c r="Q3" s="826"/>
      <c r="R3" s="914"/>
      <c r="S3" s="914"/>
      <c r="T3" s="917"/>
      <c r="U3" s="917"/>
      <c r="V3" s="826"/>
      <c r="W3" s="914"/>
    </row>
    <row r="4" spans="1:23" ht="15.3" customHeight="1" thickBot="1" x14ac:dyDescent="0.25">
      <c r="N4"/>
      <c r="O4" s="826"/>
      <c r="P4" s="826"/>
      <c r="Q4" s="826"/>
      <c r="R4" s="914"/>
      <c r="S4" s="914"/>
      <c r="T4" s="826"/>
      <c r="U4" s="826"/>
      <c r="V4" s="826"/>
      <c r="W4" s="914"/>
    </row>
    <row r="5" spans="1:23" ht="25.5" customHeight="1" thickBot="1" x14ac:dyDescent="0.25">
      <c r="A5" s="918" t="s">
        <v>1012</v>
      </c>
      <c r="B5" s="919"/>
      <c r="C5" s="920"/>
      <c r="D5" s="921"/>
      <c r="E5" s="918" t="s">
        <v>1013</v>
      </c>
      <c r="F5" s="919"/>
      <c r="G5" s="920"/>
      <c r="H5" s="922" t="s">
        <v>647</v>
      </c>
      <c r="I5" s="923"/>
      <c r="J5" s="923"/>
      <c r="K5" s="923"/>
      <c r="L5" s="923"/>
      <c r="N5" s="924"/>
      <c r="O5" s="924"/>
      <c r="P5" s="924"/>
      <c r="Q5" s="924"/>
    </row>
    <row r="6" spans="1:23" ht="18" customHeight="1" x14ac:dyDescent="0.2">
      <c r="A6" s="925" t="s">
        <v>115</v>
      </c>
      <c r="B6" s="927" t="s">
        <v>116</v>
      </c>
      <c r="C6" s="927" t="s">
        <v>230</v>
      </c>
      <c r="D6" s="928"/>
      <c r="E6" s="925" t="s">
        <v>115</v>
      </c>
      <c r="F6" s="966" t="s">
        <v>116</v>
      </c>
      <c r="G6" s="930" t="s">
        <v>230</v>
      </c>
      <c r="H6" s="1561" t="str">
        <f>IF(AND(SUMIF($S:$S,"SQ9",$R:$R)=0,ISBLANK('SICI(3)'!F13),ISBLANK('SICI(3)'!F17)),"OK",IF(AND(ABS(SUMIF($S:$S,"SQ9",$R:$R))&gt;0,ISBLANK('SICI(3)'!F13),ISBLANK('SICI(3)'!F17)),"Attenzione: inserire le voci di costituzione del fondo unicamente in presenza di certificazione dello stesso (cfr. SICI GEN353 o GEN355) !",IF(AND(SUMIF($S:$S,"SQ9",$R:$R)=0,SUM('SICI(3)'!F13,'SICI(3)'!F17)&gt;0),"Attenzione: in presenza di date di certificazione del fondo (cfr. SICI GEN353 o GEN355) è necessario compilare il lato costituzione di T15 !","OK")))</f>
        <v>OK</v>
      </c>
      <c r="I6" s="923"/>
      <c r="J6" s="923"/>
      <c r="K6" s="923"/>
      <c r="L6" s="923"/>
      <c r="M6" s="924"/>
      <c r="N6" s="924"/>
      <c r="O6" s="924"/>
      <c r="P6" s="924"/>
      <c r="Q6" s="924"/>
    </row>
    <row r="7" spans="1:23" ht="17.100000000000001" customHeight="1" x14ac:dyDescent="0.3">
      <c r="A7" s="931" t="s">
        <v>657</v>
      </c>
      <c r="B7" s="932"/>
      <c r="C7" s="933"/>
      <c r="D7" s="934"/>
      <c r="E7" s="931" t="str">
        <f>A7</f>
        <v>Fondo Area Medica</v>
      </c>
      <c r="F7" s="932"/>
      <c r="G7" s="933"/>
      <c r="H7" s="1566"/>
      <c r="I7" s="923"/>
      <c r="J7" s="923"/>
      <c r="K7" s="923"/>
      <c r="L7" s="923"/>
      <c r="O7" s="767" t="s">
        <v>649</v>
      </c>
      <c r="P7" s="935"/>
      <c r="Q7" s="936"/>
      <c r="R7" s="936"/>
      <c r="S7" s="914"/>
      <c r="T7" s="767" t="s">
        <v>650</v>
      </c>
      <c r="U7" s="935"/>
      <c r="V7" s="936"/>
      <c r="W7" s="936"/>
    </row>
    <row r="8" spans="1:23" ht="17.100000000000001" customHeight="1" x14ac:dyDescent="0.25">
      <c r="A8" s="937" t="s">
        <v>651</v>
      </c>
      <c r="B8" s="938"/>
      <c r="C8" s="939"/>
      <c r="D8" s="940"/>
      <c r="E8" s="941" t="s">
        <v>864</v>
      </c>
      <c r="F8" s="942"/>
      <c r="G8" s="943"/>
      <c r="H8" s="1566"/>
      <c r="I8" s="923"/>
      <c r="J8" s="923"/>
      <c r="K8" s="923"/>
      <c r="L8" s="923"/>
      <c r="O8" s="768" t="s">
        <v>652</v>
      </c>
      <c r="P8" s="768" t="s">
        <v>653</v>
      </c>
      <c r="Q8" s="768" t="s">
        <v>654</v>
      </c>
      <c r="R8" s="768" t="s">
        <v>655</v>
      </c>
      <c r="S8" s="914"/>
      <c r="T8" s="768" t="s">
        <v>652</v>
      </c>
      <c r="U8" s="768" t="s">
        <v>653</v>
      </c>
      <c r="V8" s="768" t="s">
        <v>654</v>
      </c>
      <c r="W8" s="768" t="s">
        <v>655</v>
      </c>
    </row>
    <row r="9" spans="1:23" ht="17.100000000000001" customHeight="1" x14ac:dyDescent="0.2">
      <c r="A9" s="901" t="s">
        <v>781</v>
      </c>
      <c r="B9" s="966" t="s">
        <v>475</v>
      </c>
      <c r="C9" s="944"/>
      <c r="D9" s="921"/>
      <c r="E9" s="901" t="s">
        <v>585</v>
      </c>
      <c r="F9" s="966" t="s">
        <v>510</v>
      </c>
      <c r="G9" s="944"/>
      <c r="H9" s="1566"/>
      <c r="I9" s="923"/>
      <c r="J9" s="923"/>
      <c r="K9" s="923"/>
      <c r="L9" s="923"/>
      <c r="O9" s="913">
        <v>45</v>
      </c>
      <c r="P9" s="913">
        <v>7</v>
      </c>
      <c r="Q9" s="913" t="str">
        <f>B9</f>
        <v>F76G</v>
      </c>
      <c r="R9" s="945">
        <f>IF(ISNUMBER(C9),ROUND(C9,0),0)</f>
        <v>0</v>
      </c>
      <c r="S9" s="913" t="str">
        <f t="shared" ref="S9:S18" si="0">VLOOKUP(O9,$Q:$R,2,FALSE)</f>
        <v>SQ9</v>
      </c>
      <c r="T9" s="913">
        <v>45</v>
      </c>
      <c r="U9" s="913">
        <v>61</v>
      </c>
      <c r="V9" s="913" t="str">
        <f t="shared" ref="V9:V14" si="1">F9</f>
        <v>U264</v>
      </c>
      <c r="W9" s="945">
        <f t="shared" ref="W9:W14" si="2">IF(ISNUMBER(G9),ROUND(G9,0),0)</f>
        <v>0</v>
      </c>
    </row>
    <row r="10" spans="1:23" ht="17.100000000000001" customHeight="1" x14ac:dyDescent="0.2">
      <c r="A10" s="901" t="s">
        <v>790</v>
      </c>
      <c r="B10" s="966" t="s">
        <v>505</v>
      </c>
      <c r="C10" s="944"/>
      <c r="D10" s="921"/>
      <c r="E10" s="901" t="s">
        <v>915</v>
      </c>
      <c r="F10" s="927" t="s">
        <v>916</v>
      </c>
      <c r="G10" s="944"/>
      <c r="H10" s="1566"/>
      <c r="I10" s="923"/>
      <c r="J10" s="923"/>
      <c r="K10" s="923"/>
      <c r="L10" s="923"/>
      <c r="O10" s="913">
        <v>45</v>
      </c>
      <c r="P10" s="913">
        <v>7</v>
      </c>
      <c r="Q10" s="913" t="str">
        <f t="shared" ref="Q10:Q15" si="3">B10</f>
        <v>F90G</v>
      </c>
      <c r="R10" s="945">
        <f t="shared" ref="R10:R16" si="4">IF(ISNUMBER(C10),ROUND(C10,0),0)</f>
        <v>0</v>
      </c>
      <c r="S10" s="913" t="str">
        <f t="shared" si="0"/>
        <v>SQ9</v>
      </c>
      <c r="T10" s="913">
        <v>45</v>
      </c>
      <c r="U10" s="913">
        <v>61</v>
      </c>
      <c r="V10" s="913" t="str">
        <f t="shared" si="1"/>
        <v>U448</v>
      </c>
      <c r="W10" s="945">
        <f t="shared" si="2"/>
        <v>0</v>
      </c>
    </row>
    <row r="11" spans="1:23" ht="17.100000000000001" customHeight="1" thickBot="1" x14ac:dyDescent="0.25">
      <c r="A11" s="901" t="s">
        <v>791</v>
      </c>
      <c r="B11" s="966" t="s">
        <v>506</v>
      </c>
      <c r="C11" s="944"/>
      <c r="D11" s="921"/>
      <c r="E11" s="901" t="s">
        <v>592</v>
      </c>
      <c r="F11" s="966" t="s">
        <v>487</v>
      </c>
      <c r="G11" s="944"/>
      <c r="H11" s="1567"/>
      <c r="I11" s="923"/>
      <c r="J11" s="923"/>
      <c r="K11" s="923"/>
      <c r="L11" s="923"/>
      <c r="O11" s="913">
        <v>45</v>
      </c>
      <c r="P11" s="913">
        <v>7</v>
      </c>
      <c r="Q11" s="913" t="str">
        <f t="shared" si="3"/>
        <v>F91G</v>
      </c>
      <c r="R11" s="945">
        <f t="shared" si="4"/>
        <v>0</v>
      </c>
      <c r="S11" s="913" t="str">
        <f t="shared" si="0"/>
        <v>SQ9</v>
      </c>
      <c r="T11" s="913">
        <v>45</v>
      </c>
      <c r="U11" s="913">
        <v>61</v>
      </c>
      <c r="V11" s="913" t="str">
        <f t="shared" si="1"/>
        <v>U449</v>
      </c>
      <c r="W11" s="945">
        <f t="shared" si="2"/>
        <v>0</v>
      </c>
    </row>
    <row r="12" spans="1:23" ht="17.100000000000001" customHeight="1" thickBot="1" x14ac:dyDescent="0.25">
      <c r="A12" s="901" t="s">
        <v>792</v>
      </c>
      <c r="B12" s="966" t="s">
        <v>507</v>
      </c>
      <c r="C12" s="944"/>
      <c r="D12" s="921"/>
      <c r="E12" s="901" t="s">
        <v>586</v>
      </c>
      <c r="F12" s="966" t="s">
        <v>511</v>
      </c>
      <c r="G12" s="944"/>
      <c r="H12" s="950" t="s">
        <v>734</v>
      </c>
      <c r="I12" s="923"/>
      <c r="J12" s="923"/>
      <c r="K12" s="923"/>
      <c r="L12" s="923"/>
      <c r="O12" s="913">
        <v>45</v>
      </c>
      <c r="P12" s="913">
        <v>7</v>
      </c>
      <c r="Q12" s="913" t="str">
        <f t="shared" si="3"/>
        <v>F92G</v>
      </c>
      <c r="R12" s="945">
        <f t="shared" si="4"/>
        <v>0</v>
      </c>
      <c r="S12" s="913" t="str">
        <f t="shared" si="0"/>
        <v>SQ9</v>
      </c>
      <c r="T12" s="913">
        <v>45</v>
      </c>
      <c r="U12" s="913">
        <v>61</v>
      </c>
      <c r="V12" s="913" t="str">
        <f t="shared" si="1"/>
        <v>U267</v>
      </c>
      <c r="W12" s="945">
        <f t="shared" si="2"/>
        <v>0</v>
      </c>
    </row>
    <row r="13" spans="1:23" ht="17.100000000000001" customHeight="1" x14ac:dyDescent="0.2">
      <c r="A13" s="901" t="s">
        <v>856</v>
      </c>
      <c r="B13" s="966" t="s">
        <v>857</v>
      </c>
      <c r="C13" s="944"/>
      <c r="D13" s="921"/>
      <c r="E13" s="948" t="s">
        <v>924</v>
      </c>
      <c r="F13" s="966" t="s">
        <v>911</v>
      </c>
      <c r="G13" s="944"/>
      <c r="H13" s="1561" t="str">
        <f>IF(LEN(H16&amp;H18&amp;H19&amp;H20)&gt;0,"Attenzione, le seguenti voci creano incongruenza perché magg. del 10% del totale:","OK")</f>
        <v>OK</v>
      </c>
      <c r="I13" s="923"/>
      <c r="J13" s="923"/>
      <c r="K13" s="923"/>
      <c r="L13" s="923"/>
      <c r="O13" s="913">
        <v>45</v>
      </c>
      <c r="P13" s="913">
        <v>7</v>
      </c>
      <c r="Q13" s="913" t="str">
        <f t="shared" si="3"/>
        <v>F11Z</v>
      </c>
      <c r="R13" s="945">
        <f t="shared" si="4"/>
        <v>0</v>
      </c>
      <c r="S13" s="913" t="str">
        <f t="shared" si="0"/>
        <v>SQ9</v>
      </c>
      <c r="T13" s="913">
        <v>45</v>
      </c>
      <c r="U13" s="913">
        <v>61</v>
      </c>
      <c r="V13" s="913" t="str">
        <f t="shared" si="1"/>
        <v>U06J</v>
      </c>
      <c r="W13" s="945">
        <f t="shared" si="2"/>
        <v>0</v>
      </c>
    </row>
    <row r="14" spans="1:23" ht="17.100000000000001" customHeight="1" x14ac:dyDescent="0.2">
      <c r="A14" s="946" t="s">
        <v>1191</v>
      </c>
      <c r="B14" s="966" t="s">
        <v>1141</v>
      </c>
      <c r="C14" s="944"/>
      <c r="D14" s="921"/>
      <c r="E14" s="948" t="s">
        <v>584</v>
      </c>
      <c r="F14" s="949" t="s">
        <v>488</v>
      </c>
      <c r="G14" s="944"/>
      <c r="H14" s="1564"/>
      <c r="I14" s="923"/>
      <c r="J14" s="923"/>
      <c r="K14" s="923"/>
      <c r="L14" s="923"/>
      <c r="O14" s="913">
        <v>45</v>
      </c>
      <c r="P14" s="913">
        <v>7</v>
      </c>
      <c r="Q14" s="913" t="str">
        <f t="shared" si="3"/>
        <v>F27P</v>
      </c>
      <c r="R14" s="945">
        <f t="shared" si="4"/>
        <v>0</v>
      </c>
      <c r="S14" s="913" t="str">
        <f t="shared" si="0"/>
        <v>SQ9</v>
      </c>
      <c r="T14" s="952">
        <v>45</v>
      </c>
      <c r="U14" s="952">
        <v>61</v>
      </c>
      <c r="V14" s="952" t="str">
        <f t="shared" si="1"/>
        <v>U998</v>
      </c>
      <c r="W14" s="953">
        <f t="shared" si="2"/>
        <v>0</v>
      </c>
    </row>
    <row r="15" spans="1:23" ht="17.100000000000001" customHeight="1" thickBot="1" x14ac:dyDescent="0.25">
      <c r="A15" s="901" t="s">
        <v>793</v>
      </c>
      <c r="B15" s="966" t="s">
        <v>508</v>
      </c>
      <c r="C15" s="944"/>
      <c r="D15" s="921"/>
      <c r="E15" s="954" t="s">
        <v>865</v>
      </c>
      <c r="F15" s="1003"/>
      <c r="G15" s="1004">
        <f>SUM(G9:G14)</f>
        <v>0</v>
      </c>
      <c r="H15" s="961"/>
      <c r="I15" s="923"/>
      <c r="J15" s="923"/>
      <c r="K15" s="923"/>
      <c r="L15" s="923"/>
      <c r="O15" s="913">
        <v>45</v>
      </c>
      <c r="P15" s="913">
        <v>7</v>
      </c>
      <c r="Q15" s="913" t="str">
        <f t="shared" si="3"/>
        <v>F93G</v>
      </c>
      <c r="R15" s="945">
        <f t="shared" si="4"/>
        <v>0</v>
      </c>
      <c r="S15" s="913" t="str">
        <f t="shared" si="0"/>
        <v>SQ9</v>
      </c>
      <c r="T15" s="913" t="s">
        <v>547</v>
      </c>
      <c r="U15" s="913"/>
      <c r="V15" s="913"/>
      <c r="W15" s="945"/>
    </row>
    <row r="16" spans="1:23" ht="17.100000000000001" customHeight="1" thickBot="1" x14ac:dyDescent="0.3">
      <c r="A16" s="901" t="s">
        <v>794</v>
      </c>
      <c r="B16" s="966" t="s">
        <v>509</v>
      </c>
      <c r="C16" s="944"/>
      <c r="D16" s="921"/>
      <c r="E16" s="1029" t="s">
        <v>587</v>
      </c>
      <c r="F16" s="1025"/>
      <c r="G16" s="1030">
        <f>G15</f>
        <v>0</v>
      </c>
      <c r="H16" s="968" t="str">
        <f>IF(C41&lt;&gt;0,IF(R18/ABS(C$41)&gt;0.1,"Fondo medici - Altre risorse fisse - F00O",""),"")</f>
        <v/>
      </c>
      <c r="I16" s="923"/>
      <c r="J16" s="923"/>
      <c r="K16" s="923"/>
      <c r="L16" s="923"/>
      <c r="O16" s="913">
        <v>45</v>
      </c>
      <c r="P16" s="913">
        <v>7</v>
      </c>
      <c r="Q16" s="913" t="str">
        <f>B16</f>
        <v>F18C</v>
      </c>
      <c r="R16" s="945">
        <f t="shared" si="4"/>
        <v>0</v>
      </c>
      <c r="S16" s="913" t="str">
        <f t="shared" si="0"/>
        <v>SQ9</v>
      </c>
      <c r="U16" s="913"/>
      <c r="V16" s="913"/>
    </row>
    <row r="17" spans="1:23" ht="17.100000000000001" customHeight="1" x14ac:dyDescent="0.25">
      <c r="A17" s="901" t="s">
        <v>999</v>
      </c>
      <c r="B17" s="966" t="s">
        <v>866</v>
      </c>
      <c r="C17" s="944"/>
      <c r="D17" s="921"/>
      <c r="E17" s="1031"/>
      <c r="F17" s="1032"/>
      <c r="G17" s="1033"/>
      <c r="H17" s="968"/>
      <c r="I17" s="923"/>
      <c r="J17" s="923"/>
      <c r="K17" s="923"/>
      <c r="L17" s="923"/>
      <c r="O17" s="913">
        <v>45</v>
      </c>
      <c r="P17" s="913">
        <v>7</v>
      </c>
      <c r="Q17" s="913" t="str">
        <f>B17</f>
        <v>F16L</v>
      </c>
      <c r="R17" s="945">
        <f>IF(ISNUMBER(C17),ROUND(C17,0),0)</f>
        <v>0</v>
      </c>
      <c r="S17" s="913" t="str">
        <f t="shared" si="0"/>
        <v>SQ9</v>
      </c>
      <c r="U17" s="913"/>
      <c r="V17" s="913"/>
    </row>
    <row r="18" spans="1:23" ht="17.100000000000001" customHeight="1" x14ac:dyDescent="0.25">
      <c r="A18" s="901" t="s">
        <v>917</v>
      </c>
      <c r="B18" s="966" t="s">
        <v>918</v>
      </c>
      <c r="C18" s="944"/>
      <c r="D18" s="921"/>
      <c r="E18" s="1008"/>
      <c r="F18" s="1012"/>
      <c r="G18" s="1034"/>
      <c r="H18" s="968" t="str">
        <f>IF(C41&lt;&gt;0,IF(R32/ABS(C$41)&gt;0.1,"Fondo medici - Altre risorse variabili - F00O",""),"")</f>
        <v/>
      </c>
      <c r="I18" s="923"/>
      <c r="J18" s="923"/>
      <c r="K18" s="923"/>
      <c r="L18" s="923"/>
      <c r="O18" s="952">
        <v>45</v>
      </c>
      <c r="P18" s="952">
        <v>7</v>
      </c>
      <c r="Q18" s="952" t="str">
        <f>B18</f>
        <v>F00O</v>
      </c>
      <c r="R18" s="953">
        <f>IF(ISNUMBER(C18),ROUND(C18,0),0)</f>
        <v>0</v>
      </c>
      <c r="S18" s="913" t="str">
        <f t="shared" si="0"/>
        <v>SQ9</v>
      </c>
      <c r="T18" s="913"/>
      <c r="U18" s="913"/>
      <c r="V18" s="913"/>
    </row>
    <row r="19" spans="1:23" ht="17.100000000000001" customHeight="1" thickBot="1" x14ac:dyDescent="0.3">
      <c r="A19" s="1014" t="s">
        <v>345</v>
      </c>
      <c r="B19" s="1003"/>
      <c r="C19" s="1004">
        <f>SUM(C9:C18)</f>
        <v>0</v>
      </c>
      <c r="D19" s="921"/>
      <c r="E19" s="1008"/>
      <c r="F19" s="1012"/>
      <c r="G19" s="1034"/>
      <c r="H19" s="968" t="str">
        <f>IF(C41&lt;&gt;0,IF(R39/ABS(C$41)&gt;0.1,"Fondo medici - Altre decurtazioni - F01P",""),"")</f>
        <v/>
      </c>
      <c r="I19" s="923"/>
      <c r="J19" s="923"/>
      <c r="K19" s="923"/>
      <c r="L19" s="923"/>
      <c r="O19" s="965"/>
      <c r="P19" s="965"/>
      <c r="Q19" s="913"/>
      <c r="R19" s="945"/>
      <c r="S19" s="1035"/>
      <c r="T19" s="965"/>
      <c r="U19" s="965"/>
      <c r="V19" s="913"/>
      <c r="W19" s="945"/>
    </row>
    <row r="20" spans="1:23" ht="17.100000000000001" customHeight="1" x14ac:dyDescent="0.25">
      <c r="A20" s="1036" t="s">
        <v>346</v>
      </c>
      <c r="B20" s="1037"/>
      <c r="C20" s="1038"/>
      <c r="D20" s="921"/>
      <c r="E20" s="1008"/>
      <c r="F20" s="1012"/>
      <c r="G20" s="1034"/>
      <c r="H20" s="968" t="str">
        <f>IF(G42&lt;&gt;0,IF(W14/ABS(G42)&gt;0.1,"Fondo medici - Altre destinazioni - U998",""),"")</f>
        <v/>
      </c>
      <c r="I20" s="923"/>
      <c r="J20" s="923"/>
      <c r="K20" s="923"/>
      <c r="L20" s="923"/>
      <c r="S20" s="1035"/>
      <c r="T20" s="913"/>
      <c r="U20" s="913"/>
      <c r="V20" s="913"/>
      <c r="W20" s="945"/>
    </row>
    <row r="21" spans="1:23" ht="17.100000000000001" customHeight="1" thickBot="1" x14ac:dyDescent="0.25">
      <c r="A21" s="901" t="s">
        <v>748</v>
      </c>
      <c r="B21" s="927" t="s">
        <v>481</v>
      </c>
      <c r="C21" s="944"/>
      <c r="D21" s="921"/>
      <c r="E21" s="1008"/>
      <c r="F21" s="1012"/>
      <c r="G21" s="1034"/>
      <c r="H21" s="1039"/>
      <c r="I21" s="923"/>
      <c r="J21" s="923"/>
      <c r="K21" s="923"/>
      <c r="L21" s="923"/>
      <c r="O21" s="965">
        <v>45</v>
      </c>
      <c r="P21" s="965">
        <v>9</v>
      </c>
      <c r="Q21" s="913" t="str">
        <f t="shared" ref="Q21:Q32" si="5">B21</f>
        <v>F50H</v>
      </c>
      <c r="R21" s="945">
        <f>IF(ISNUMBER(C21),ROUND(C21,0),0)</f>
        <v>0</v>
      </c>
      <c r="S21" s="913" t="str">
        <f t="shared" ref="S21:S32" si="6">VLOOKUP(O21,$Q:$R,2,FALSE)</f>
        <v>SQ9</v>
      </c>
      <c r="V21" s="913"/>
    </row>
    <row r="22" spans="1:23" ht="17.100000000000001" customHeight="1" thickBot="1" x14ac:dyDescent="0.25">
      <c r="A22" s="977" t="s">
        <v>749</v>
      </c>
      <c r="B22" s="927" t="s">
        <v>482</v>
      </c>
      <c r="C22" s="944"/>
      <c r="D22" s="921"/>
      <c r="E22" s="1008"/>
      <c r="F22" s="1012"/>
      <c r="G22" s="1034"/>
      <c r="H22" s="950" t="s">
        <v>1014</v>
      </c>
      <c r="I22" s="1040"/>
      <c r="J22" s="1040"/>
      <c r="K22" s="1040"/>
      <c r="L22" s="1040"/>
      <c r="O22" s="965">
        <v>45</v>
      </c>
      <c r="P22" s="965">
        <v>9</v>
      </c>
      <c r="Q22" s="913" t="str">
        <f t="shared" si="5"/>
        <v>F51H</v>
      </c>
      <c r="R22" s="945">
        <f t="shared" ref="R22:R31" si="7">IF(ISNUMBER(C22),ROUND(C22,0),0)</f>
        <v>0</v>
      </c>
      <c r="S22" s="913" t="str">
        <f t="shared" si="6"/>
        <v>SQ9</v>
      </c>
      <c r="U22" s="913"/>
      <c r="V22" s="913"/>
    </row>
    <row r="23" spans="1:23" ht="17.100000000000001" customHeight="1" x14ac:dyDescent="0.2">
      <c r="A23" s="901" t="s">
        <v>795</v>
      </c>
      <c r="B23" s="927" t="s">
        <v>500</v>
      </c>
      <c r="C23" s="944"/>
      <c r="D23" s="921"/>
      <c r="E23" s="1008"/>
      <c r="F23" s="1012"/>
      <c r="G23" s="1034"/>
      <c r="H23" s="1564" t="str">
        <f>IF(AND(SUMIF($O:$O,$Q1,$R:$R)&lt;&gt;0,SUM('SICI(3)'!$F$13,'SICI(3)'!$F$17)&gt;0),IF(SUMIFS($R:$R,$P:$P,"&lt;&gt;81",$O:$O,$Q1)-SUMIFS($R:$R,$P:$P,"81",$O:$O,$Q1)-SUMIF($T:$T,$Q1,$W:$W)&lt;0,"Attenzione, nelle seguenti sezioni le destinazioni risultano superiori alle relative risorse e generano pertanto squadratura 8: "&amp;CHAR(10)&amp;A7,"OK"),"OK")</f>
        <v>OK</v>
      </c>
      <c r="I23" s="1040"/>
      <c r="J23" s="1040"/>
      <c r="K23" s="1040"/>
      <c r="L23" s="1040"/>
      <c r="O23" s="965">
        <v>45</v>
      </c>
      <c r="P23" s="965">
        <v>9</v>
      </c>
      <c r="Q23" s="913" t="str">
        <f t="shared" si="5"/>
        <v>F94G</v>
      </c>
      <c r="R23" s="945">
        <f t="shared" si="7"/>
        <v>0</v>
      </c>
      <c r="S23" s="913" t="str">
        <f t="shared" si="6"/>
        <v>SQ9</v>
      </c>
      <c r="T23" s="913"/>
      <c r="U23" s="913"/>
      <c r="V23" s="913"/>
    </row>
    <row r="24" spans="1:23" ht="17.100000000000001" customHeight="1" x14ac:dyDescent="0.2">
      <c r="A24" s="901" t="s">
        <v>797</v>
      </c>
      <c r="B24" s="927" t="s">
        <v>501</v>
      </c>
      <c r="C24" s="944"/>
      <c r="D24" s="921"/>
      <c r="E24" s="1008"/>
      <c r="F24" s="1012"/>
      <c r="G24" s="1011"/>
      <c r="H24" s="1564"/>
      <c r="I24" s="1041"/>
      <c r="J24" s="1041"/>
      <c r="K24" s="1041"/>
      <c r="L24" s="1041"/>
      <c r="O24" s="965">
        <v>45</v>
      </c>
      <c r="P24" s="965">
        <v>9</v>
      </c>
      <c r="Q24" s="913" t="str">
        <f t="shared" si="5"/>
        <v>F19C</v>
      </c>
      <c r="R24" s="945">
        <f t="shared" si="7"/>
        <v>0</v>
      </c>
      <c r="S24" s="913" t="str">
        <f t="shared" si="6"/>
        <v>SQ9</v>
      </c>
      <c r="T24" s="913"/>
      <c r="U24" s="913"/>
      <c r="V24" s="913"/>
    </row>
    <row r="25" spans="1:23" ht="17.100000000000001" customHeight="1" x14ac:dyDescent="0.2">
      <c r="A25" s="901" t="s">
        <v>798</v>
      </c>
      <c r="B25" s="927" t="s">
        <v>502</v>
      </c>
      <c r="C25" s="944"/>
      <c r="D25" s="921"/>
      <c r="E25" s="1008"/>
      <c r="F25" s="1012"/>
      <c r="G25" s="1011"/>
      <c r="H25" s="1564"/>
      <c r="I25" s="1041"/>
      <c r="J25" s="1041"/>
      <c r="K25" s="1041"/>
      <c r="L25" s="1041"/>
      <c r="O25" s="965">
        <v>45</v>
      </c>
      <c r="P25" s="965">
        <v>9</v>
      </c>
      <c r="Q25" s="913" t="str">
        <f t="shared" si="5"/>
        <v>F20C</v>
      </c>
      <c r="R25" s="945">
        <f t="shared" si="7"/>
        <v>0</v>
      </c>
      <c r="S25" s="913" t="str">
        <f t="shared" si="6"/>
        <v>SQ9</v>
      </c>
      <c r="T25" s="913"/>
      <c r="U25" s="913"/>
      <c r="V25" s="913"/>
    </row>
    <row r="26" spans="1:23" ht="17.100000000000001" customHeight="1" thickBot="1" x14ac:dyDescent="0.25">
      <c r="A26" s="901" t="s">
        <v>799</v>
      </c>
      <c r="B26" s="927" t="s">
        <v>503</v>
      </c>
      <c r="C26" s="944"/>
      <c r="D26" s="921"/>
      <c r="E26" s="1008"/>
      <c r="F26" s="1012"/>
      <c r="G26" s="1011"/>
      <c r="H26" s="1565"/>
      <c r="I26" s="1041"/>
      <c r="J26" s="1041"/>
      <c r="K26" s="1041"/>
      <c r="L26" s="1041"/>
      <c r="O26" s="965">
        <v>45</v>
      </c>
      <c r="P26" s="965">
        <v>9</v>
      </c>
      <c r="Q26" s="913" t="str">
        <f t="shared" si="5"/>
        <v>F22C</v>
      </c>
      <c r="R26" s="945">
        <f t="shared" si="7"/>
        <v>0</v>
      </c>
      <c r="S26" s="913" t="str">
        <f t="shared" si="6"/>
        <v>SQ9</v>
      </c>
      <c r="T26" s="913"/>
      <c r="U26" s="913"/>
      <c r="V26" s="913"/>
    </row>
    <row r="27" spans="1:23" ht="17.100000000000001" customHeight="1" x14ac:dyDescent="0.2">
      <c r="A27" s="901" t="s">
        <v>919</v>
      </c>
      <c r="B27" s="927" t="s">
        <v>920</v>
      </c>
      <c r="C27" s="944"/>
      <c r="D27" s="921"/>
      <c r="E27" s="1008"/>
      <c r="F27" s="1012"/>
      <c r="G27" s="1011"/>
      <c r="H27" s="1041"/>
      <c r="I27" s="1041"/>
      <c r="J27" s="1041"/>
      <c r="K27" s="1041"/>
      <c r="L27" s="1041"/>
      <c r="O27" s="965">
        <v>45</v>
      </c>
      <c r="P27" s="965">
        <v>9</v>
      </c>
      <c r="Q27" s="913" t="str">
        <f t="shared" si="5"/>
        <v>F19S</v>
      </c>
      <c r="R27" s="945">
        <f t="shared" si="7"/>
        <v>0</v>
      </c>
      <c r="S27" s="913" t="str">
        <f t="shared" si="6"/>
        <v>SQ9</v>
      </c>
      <c r="T27" s="913"/>
      <c r="U27" s="913"/>
      <c r="V27" s="913"/>
    </row>
    <row r="28" spans="1:23" ht="17.100000000000001" customHeight="1" x14ac:dyDescent="0.2">
      <c r="A28" s="901" t="s">
        <v>796</v>
      </c>
      <c r="B28" s="927" t="s">
        <v>504</v>
      </c>
      <c r="C28" s="944"/>
      <c r="D28" s="921"/>
      <c r="E28" s="1008"/>
      <c r="F28" s="1012"/>
      <c r="G28" s="1011"/>
      <c r="H28" s="1041"/>
      <c r="I28" s="1041"/>
      <c r="J28" s="1041"/>
      <c r="K28" s="1041"/>
      <c r="L28" s="1041"/>
      <c r="O28" s="965">
        <v>45</v>
      </c>
      <c r="P28" s="965">
        <v>9</v>
      </c>
      <c r="Q28" s="913" t="str">
        <f t="shared" si="5"/>
        <v>F23C</v>
      </c>
      <c r="R28" s="945">
        <f t="shared" si="7"/>
        <v>0</v>
      </c>
      <c r="S28" s="913" t="str">
        <f t="shared" si="6"/>
        <v>SQ9</v>
      </c>
      <c r="T28" s="913"/>
      <c r="U28" s="913"/>
      <c r="V28" s="913"/>
    </row>
    <row r="29" spans="1:23" ht="17.100000000000001" customHeight="1" x14ac:dyDescent="0.2">
      <c r="A29" s="901" t="s">
        <v>750</v>
      </c>
      <c r="B29" s="927" t="s">
        <v>583</v>
      </c>
      <c r="C29" s="944"/>
      <c r="D29" s="921"/>
      <c r="E29" s="1008"/>
      <c r="F29" s="1012"/>
      <c r="G29" s="1011"/>
      <c r="H29" s="1041"/>
      <c r="I29" s="1041"/>
      <c r="J29" s="1041"/>
      <c r="K29" s="1041"/>
      <c r="L29" s="1041"/>
      <c r="O29" s="965">
        <v>45</v>
      </c>
      <c r="P29" s="965">
        <v>9</v>
      </c>
      <c r="Q29" s="913" t="str">
        <f t="shared" si="5"/>
        <v>F96H</v>
      </c>
      <c r="R29" s="945">
        <f t="shared" si="7"/>
        <v>0</v>
      </c>
      <c r="S29" s="913" t="str">
        <f t="shared" si="6"/>
        <v>SQ9</v>
      </c>
      <c r="T29" s="913"/>
      <c r="U29" s="913"/>
      <c r="V29" s="913"/>
    </row>
    <row r="30" spans="1:23" ht="17.100000000000001" customHeight="1" x14ac:dyDescent="0.2">
      <c r="A30" s="901" t="s">
        <v>1135</v>
      </c>
      <c r="B30" s="1371" t="s">
        <v>1136</v>
      </c>
      <c r="C30" s="944"/>
      <c r="D30" s="921"/>
      <c r="E30" s="1008"/>
      <c r="F30" s="1012"/>
      <c r="G30" s="1011"/>
      <c r="H30" s="1041"/>
      <c r="I30" s="1041"/>
      <c r="J30" s="1041"/>
      <c r="K30" s="1041"/>
      <c r="L30" s="1041"/>
      <c r="O30" s="965">
        <v>45</v>
      </c>
      <c r="P30" s="965">
        <v>9</v>
      </c>
      <c r="Q30" s="913" t="str">
        <f>B30</f>
        <v>F24T</v>
      </c>
      <c r="R30" s="945">
        <f>IF(ISNUMBER(C30),ROUND(C30,0),0)</f>
        <v>0</v>
      </c>
      <c r="S30" s="913" t="str">
        <f t="shared" si="6"/>
        <v>SQ9</v>
      </c>
      <c r="T30" s="913"/>
      <c r="U30" s="913"/>
      <c r="V30" s="913"/>
    </row>
    <row r="31" spans="1:23" ht="17.100000000000001" customHeight="1" x14ac:dyDescent="0.2">
      <c r="A31" s="946" t="s">
        <v>1137</v>
      </c>
      <c r="B31" s="947" t="s">
        <v>486</v>
      </c>
      <c r="C31" s="944"/>
      <c r="D31" s="921"/>
      <c r="E31" s="1008"/>
      <c r="F31" s="1012"/>
      <c r="G31" s="1011"/>
      <c r="H31" s="1041"/>
      <c r="I31" s="1041"/>
      <c r="J31" s="1041"/>
      <c r="K31" s="1041"/>
      <c r="L31" s="1041"/>
      <c r="O31" s="965">
        <v>45</v>
      </c>
      <c r="P31" s="965">
        <v>9</v>
      </c>
      <c r="Q31" s="913" t="str">
        <f t="shared" si="5"/>
        <v>F999</v>
      </c>
      <c r="R31" s="945">
        <f t="shared" si="7"/>
        <v>0</v>
      </c>
      <c r="S31" s="913" t="str">
        <f t="shared" si="6"/>
        <v>SQ9</v>
      </c>
      <c r="T31" s="913"/>
      <c r="U31" s="913"/>
      <c r="V31" s="913"/>
    </row>
    <row r="32" spans="1:23" ht="17.100000000000001" customHeight="1" x14ac:dyDescent="0.25">
      <c r="A32" s="901" t="s">
        <v>917</v>
      </c>
      <c r="B32" s="966" t="s">
        <v>918</v>
      </c>
      <c r="C32" s="944"/>
      <c r="D32" s="921"/>
      <c r="E32" s="1008"/>
      <c r="F32" s="1012"/>
      <c r="G32" s="1011"/>
      <c r="H32" s="1042"/>
      <c r="I32" s="1041"/>
      <c r="J32" s="1041"/>
      <c r="K32" s="1041"/>
      <c r="L32" s="1041"/>
      <c r="O32" s="979">
        <v>45</v>
      </c>
      <c r="P32" s="979">
        <v>9</v>
      </c>
      <c r="Q32" s="952" t="str">
        <f t="shared" si="5"/>
        <v>F00O</v>
      </c>
      <c r="R32" s="953">
        <f>IF(ISNUMBER(C32),ROUND(C32,0),0)</f>
        <v>0</v>
      </c>
      <c r="S32" s="913" t="str">
        <f t="shared" si="6"/>
        <v>SQ9</v>
      </c>
      <c r="T32" s="913"/>
      <c r="U32" s="913"/>
      <c r="V32" s="913"/>
    </row>
    <row r="33" spans="1:23" ht="17.100000000000001" customHeight="1" thickBot="1" x14ac:dyDescent="0.25">
      <c r="A33" s="1014" t="s">
        <v>347</v>
      </c>
      <c r="B33" s="1003"/>
      <c r="C33" s="1004">
        <f>SUM(C21:C32)</f>
        <v>0</v>
      </c>
      <c r="D33" s="921"/>
      <c r="E33" s="1008"/>
      <c r="F33" s="1012"/>
      <c r="G33" s="1011"/>
      <c r="H33" s="1041"/>
      <c r="I33" s="1041"/>
      <c r="J33" s="1041"/>
      <c r="K33" s="1041"/>
      <c r="L33" s="1041"/>
      <c r="O33" s="913"/>
      <c r="P33" s="913"/>
      <c r="Q33" s="913"/>
      <c r="R33" s="945"/>
      <c r="S33" s="913"/>
      <c r="T33" s="913"/>
      <c r="U33" s="913"/>
      <c r="V33" s="913"/>
    </row>
    <row r="34" spans="1:23" ht="17.100000000000001" customHeight="1" x14ac:dyDescent="0.2">
      <c r="A34" s="1036" t="s">
        <v>729</v>
      </c>
      <c r="B34" s="1037"/>
      <c r="C34" s="1043"/>
      <c r="D34" s="921"/>
      <c r="E34" s="1008"/>
      <c r="F34" s="1012"/>
      <c r="G34" s="1011"/>
      <c r="I34" s="1041"/>
      <c r="J34" s="1041"/>
      <c r="K34" s="1041"/>
      <c r="L34" s="1041"/>
      <c r="S34" s="913"/>
      <c r="T34" s="913"/>
      <c r="U34" s="913"/>
      <c r="V34" s="913"/>
    </row>
    <row r="35" spans="1:23" ht="17.100000000000001" customHeight="1" x14ac:dyDescent="0.2">
      <c r="A35" s="901" t="s">
        <v>754</v>
      </c>
      <c r="B35" s="927" t="s">
        <v>730</v>
      </c>
      <c r="C35" s="944"/>
      <c r="D35" s="921"/>
      <c r="E35" s="1008"/>
      <c r="F35" s="1012"/>
      <c r="G35" s="1011"/>
      <c r="I35" s="1041"/>
      <c r="J35" s="1041"/>
      <c r="K35" s="1041"/>
      <c r="L35" s="1041"/>
      <c r="O35" s="913">
        <v>45</v>
      </c>
      <c r="P35" s="913">
        <v>81</v>
      </c>
      <c r="Q35" s="913" t="str">
        <f>B35</f>
        <v>F02P</v>
      </c>
      <c r="R35" s="945">
        <f>IF(ISNUMBER(C35),ROUND(C35,0),0)</f>
        <v>0</v>
      </c>
      <c r="S35" s="913" t="str">
        <f>VLOOKUP(O35,$Q:$R,2,FALSE)</f>
        <v>SQ9</v>
      </c>
      <c r="T35" s="913"/>
      <c r="U35" s="913"/>
      <c r="V35" s="913"/>
    </row>
    <row r="36" spans="1:23" ht="17.100000000000001" customHeight="1" x14ac:dyDescent="0.2">
      <c r="A36" s="901" t="s">
        <v>755</v>
      </c>
      <c r="B36" s="927" t="s">
        <v>615</v>
      </c>
      <c r="C36" s="944"/>
      <c r="D36" s="921"/>
      <c r="E36" s="1008"/>
      <c r="F36" s="1012"/>
      <c r="G36" s="1011"/>
      <c r="I36" s="1041"/>
      <c r="J36" s="1041"/>
      <c r="K36" s="1041"/>
      <c r="L36" s="1041"/>
      <c r="O36" s="913">
        <v>45</v>
      </c>
      <c r="P36" s="913">
        <v>81</v>
      </c>
      <c r="Q36" s="913" t="str">
        <f>B36</f>
        <v>F27I</v>
      </c>
      <c r="R36" s="945">
        <f>IF(ISNUMBER(C36),ROUND(C36,0),0)</f>
        <v>0</v>
      </c>
      <c r="S36" s="913" t="str">
        <f>VLOOKUP(O36,$Q:$R,2,FALSE)</f>
        <v>SQ9</v>
      </c>
      <c r="T36" s="913"/>
      <c r="U36" s="913"/>
      <c r="V36" s="913"/>
    </row>
    <row r="37" spans="1:23" ht="17.25" customHeight="1" x14ac:dyDescent="0.2">
      <c r="A37" s="901" t="s">
        <v>800</v>
      </c>
      <c r="B37" s="927" t="s">
        <v>731</v>
      </c>
      <c r="C37" s="944"/>
      <c r="D37" s="921"/>
      <c r="E37" s="1008"/>
      <c r="F37" s="1012"/>
      <c r="G37" s="1011"/>
      <c r="I37" s="1041"/>
      <c r="J37" s="1041"/>
      <c r="K37" s="1041"/>
      <c r="L37" s="1041"/>
      <c r="O37" s="913">
        <v>45</v>
      </c>
      <c r="P37" s="913">
        <v>81</v>
      </c>
      <c r="Q37" s="913" t="str">
        <f>B37</f>
        <v>F00P</v>
      </c>
      <c r="R37" s="945">
        <f>IF(ISNUMBER(C37),ROUND(C37,0),0)</f>
        <v>0</v>
      </c>
      <c r="S37" s="913" t="str">
        <f>VLOOKUP(O37,$Q:$R,2,FALSE)</f>
        <v>SQ9</v>
      </c>
      <c r="T37" s="913"/>
      <c r="U37" s="913"/>
      <c r="V37" s="913"/>
    </row>
    <row r="38" spans="1:23" ht="17.100000000000001" customHeight="1" x14ac:dyDescent="0.25">
      <c r="A38" s="901" t="s">
        <v>756</v>
      </c>
      <c r="B38" s="989" t="s">
        <v>757</v>
      </c>
      <c r="C38" s="944"/>
      <c r="D38" s="921"/>
      <c r="E38" s="1008"/>
      <c r="F38" s="1012"/>
      <c r="G38" s="1011"/>
      <c r="I38" s="1044"/>
      <c r="J38" s="1044"/>
      <c r="K38" s="1045"/>
      <c r="L38" s="1046"/>
      <c r="O38" s="913">
        <v>45</v>
      </c>
      <c r="P38" s="913">
        <v>81</v>
      </c>
      <c r="Q38" s="913" t="str">
        <f>B38</f>
        <v>F01S</v>
      </c>
      <c r="R38" s="945">
        <f>IF(ISNUMBER(C38),ROUND(C38,0),0)</f>
        <v>0</v>
      </c>
      <c r="S38" s="913" t="str">
        <f>VLOOKUP(O38,$Q:$R,2,FALSE)</f>
        <v>SQ9</v>
      </c>
      <c r="T38" s="913"/>
      <c r="U38" s="913"/>
      <c r="V38" s="913"/>
    </row>
    <row r="39" spans="1:23" ht="17.100000000000001" customHeight="1" x14ac:dyDescent="0.2">
      <c r="A39" s="901" t="s">
        <v>921</v>
      </c>
      <c r="B39" s="966" t="s">
        <v>732</v>
      </c>
      <c r="C39" s="944"/>
      <c r="D39" s="921"/>
      <c r="E39" s="1008"/>
      <c r="F39" s="1012"/>
      <c r="G39" s="1011"/>
      <c r="I39" s="1041"/>
      <c r="J39" s="1041"/>
      <c r="K39" s="1041"/>
      <c r="L39" s="1041"/>
      <c r="O39" s="952">
        <v>45</v>
      </c>
      <c r="P39" s="952">
        <v>81</v>
      </c>
      <c r="Q39" s="952" t="str">
        <f>B39</f>
        <v>F01P</v>
      </c>
      <c r="R39" s="953">
        <f>IF(ISNUMBER(C39),ROUND(C39,0),0)</f>
        <v>0</v>
      </c>
      <c r="S39" s="913" t="str">
        <f>VLOOKUP(O39,$Q:$R,2,FALSE)</f>
        <v>SQ9</v>
      </c>
      <c r="T39" s="913"/>
      <c r="U39" s="913"/>
      <c r="V39" s="913"/>
    </row>
    <row r="40" spans="1:23" ht="17.100000000000001" customHeight="1" thickBot="1" x14ac:dyDescent="0.25">
      <c r="A40" s="1021" t="s">
        <v>733</v>
      </c>
      <c r="B40" s="1022"/>
      <c r="C40" s="1023">
        <f>SUM(C35:C39)</f>
        <v>0</v>
      </c>
      <c r="D40" s="1008"/>
      <c r="E40" s="1008"/>
      <c r="F40" s="1012"/>
      <c r="G40" s="1011"/>
      <c r="O40" s="913" t="s">
        <v>547</v>
      </c>
      <c r="P40" s="913"/>
      <c r="Q40" s="913"/>
      <c r="R40" s="945"/>
      <c r="S40" s="913"/>
      <c r="T40" s="913"/>
      <c r="U40" s="913"/>
      <c r="V40" s="913"/>
    </row>
    <row r="41" spans="1:23" ht="17.100000000000001" customHeight="1" thickBot="1" x14ac:dyDescent="0.3">
      <c r="A41" s="1024" t="s">
        <v>587</v>
      </c>
      <c r="B41" s="1047"/>
      <c r="C41" s="1048">
        <f>C19+C33-C40</f>
        <v>0</v>
      </c>
      <c r="D41" s="1049"/>
      <c r="E41" s="1050"/>
      <c r="F41" s="1051"/>
      <c r="G41" s="1028"/>
      <c r="O41" s="913"/>
      <c r="P41" s="913"/>
      <c r="Q41" s="913"/>
      <c r="R41" s="945"/>
      <c r="S41" s="913"/>
      <c r="T41" s="913"/>
      <c r="U41" s="913"/>
      <c r="V41" s="913"/>
    </row>
    <row r="42" spans="1:23" ht="17.100000000000001" customHeight="1" thickBot="1" x14ac:dyDescent="0.3">
      <c r="A42" s="998" t="s">
        <v>922</v>
      </c>
      <c r="B42" s="1025"/>
      <c r="C42" s="1052">
        <f>C41</f>
        <v>0</v>
      </c>
      <c r="D42" s="1049"/>
      <c r="E42" s="1000" t="s">
        <v>923</v>
      </c>
      <c r="F42" s="1053"/>
      <c r="G42" s="1054">
        <f>G16</f>
        <v>0</v>
      </c>
      <c r="P42" s="913"/>
      <c r="Q42" s="913"/>
      <c r="R42" s="913"/>
      <c r="T42" s="913"/>
      <c r="U42" s="913"/>
      <c r="V42" s="913"/>
      <c r="W42" s="913"/>
    </row>
    <row r="43" spans="1:23" ht="4.95" customHeight="1" x14ac:dyDescent="0.2">
      <c r="O43" s="913"/>
      <c r="P43" s="913"/>
      <c r="Q43" s="913"/>
      <c r="R43" s="945"/>
    </row>
    <row r="44" spans="1:23" ht="11.4" x14ac:dyDescent="0.2">
      <c r="A44" s="825" t="s">
        <v>1015</v>
      </c>
      <c r="Q44" s="913"/>
    </row>
    <row r="45" spans="1:23" s="771" customFormat="1" ht="15" x14ac:dyDescent="0.25">
      <c r="A45" s="825" t="s">
        <v>1142</v>
      </c>
      <c r="B45" s="957"/>
      <c r="C45" s="1002"/>
    </row>
  </sheetData>
  <sheetProtection algorithmName="SHA-512" hashValue="5tkCUzL/20sKAMEESireMh7/xiZXOwV4DtED7uedk1i+rYeG3cwVlOh//uvbpoCh+l+CPMVIsEU1j57NYM1Frg==" saltValue="lEOVZ97vD+Pn6Gm5LhHetQ==" spinCount="100000" sheet="1" formatColumns="0" selectLockedCells="1"/>
  <mergeCells count="3">
    <mergeCell ref="H6:H11"/>
    <mergeCell ref="H13:H14"/>
    <mergeCell ref="H23:H26"/>
  </mergeCells>
  <dataValidations count="2">
    <dataValidation type="whole" allowBlank="1" showInputMessage="1" showErrorMessage="1" errorTitle="ERRORE NEL DATO IMMESSO" error="INSERIRE SOLO NUMERI INTERI" sqref="C21:C32 C9:C18 G9:G14 C35:C39" xr:uid="{410F91B7-9764-4C38-B177-19D4D8789091}">
      <formula1>0</formula1>
      <formula2>999999999999</formula2>
    </dataValidation>
    <dataValidation type="whole" allowBlank="1" showInputMessage="1" showErrorMessage="1" errorTitle="ERRORE NEL DATO IMMESSO" error="INSERIRE SOLO NUMERI INTERI" sqref="C19 G15 C33:C34 C40:C41" xr:uid="{B73EAF6A-CDE5-40A6-B773-831CA4A17C54}">
      <formula1>-999999999999</formula1>
      <formula2>999999999999</formula2>
    </dataValidation>
  </dataValidations>
  <printOptions horizontalCentered="1"/>
  <pageMargins left="0.39370078740157483" right="0.39370078740157483" top="0.78740157480314965" bottom="0.39370078740157483" header="0.51181102362204722" footer="0.15748031496062992"/>
  <pageSetup paperSize="9" scale="61" orientation="portrait" horizontalDpi="300" verticalDpi="4294967292"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W48"/>
  <sheetViews>
    <sheetView showGridLines="0" zoomScale="80" zoomScaleNormal="80" workbookViewId="0">
      <selection activeCell="C9" sqref="C9"/>
    </sheetView>
  </sheetViews>
  <sheetFormatPr defaultColWidth="12.7109375" defaultRowHeight="10.199999999999999" x14ac:dyDescent="0.2"/>
  <cols>
    <col min="1" max="1" width="65.7109375" style="825" customWidth="1"/>
    <col min="2" max="2" width="10.7109375" style="913" customWidth="1"/>
    <col min="3" max="3" width="20.7109375" style="825" customWidth="1"/>
    <col min="4" max="4" width="3.28515625" style="825" customWidth="1"/>
    <col min="5" max="5" width="65.7109375" style="825" customWidth="1"/>
    <col min="6" max="6" width="10.7109375" style="825" customWidth="1"/>
    <col min="7" max="7" width="20.7109375" style="825" customWidth="1"/>
    <col min="8" max="8" width="73.28515625" style="825" customWidth="1"/>
    <col min="9" max="12" width="12.7109375" style="825" customWidth="1"/>
    <col min="13" max="14" width="12.7109375" style="825"/>
    <col min="15" max="18" width="12.7109375" style="825" hidden="1" customWidth="1"/>
    <col min="19" max="19" width="5.42578125" style="825" hidden="1" customWidth="1"/>
    <col min="20" max="23" width="12.7109375" style="825" hidden="1" customWidth="1"/>
    <col min="24" max="16384" width="12.7109375" style="825"/>
  </cols>
  <sheetData>
    <row r="1" spans="1:23" ht="43.5" customHeight="1" x14ac:dyDescent="0.2">
      <c r="A1" s="909" t="str">
        <f>'t1'!$A$1</f>
        <v>ENTI PUBBLICI NON ECONOMICI - anno 2023</v>
      </c>
      <c r="B1" s="910"/>
      <c r="C1" s="910"/>
      <c r="D1" s="910"/>
      <c r="E1" s="910"/>
      <c r="F1" s="910"/>
      <c r="G1" s="910"/>
      <c r="H1" s="911" t="s">
        <v>474</v>
      </c>
      <c r="Q1" s="912">
        <v>28</v>
      </c>
      <c r="R1" s="912" t="s">
        <v>646</v>
      </c>
    </row>
    <row r="2" spans="1:23" ht="15.3" customHeight="1" x14ac:dyDescent="0.2">
      <c r="N2"/>
      <c r="O2" s="826"/>
      <c r="P2" s="826"/>
      <c r="Q2" s="826"/>
      <c r="R2" s="914"/>
      <c r="S2" s="914"/>
      <c r="T2" s="826"/>
      <c r="U2" s="826"/>
      <c r="V2" s="826"/>
      <c r="W2" s="914"/>
    </row>
    <row r="3" spans="1:23" ht="44.55" customHeight="1" x14ac:dyDescent="0.2">
      <c r="A3" s="915"/>
      <c r="B3" s="916"/>
      <c r="C3" s="916"/>
      <c r="D3" s="916"/>
      <c r="E3" s="916"/>
      <c r="F3" s="916"/>
      <c r="G3" s="916"/>
      <c r="N3"/>
      <c r="O3" s="917"/>
      <c r="P3" s="917"/>
      <c r="Q3" s="826"/>
      <c r="R3" s="914"/>
      <c r="S3" s="914"/>
      <c r="T3" s="917"/>
      <c r="U3" s="917"/>
      <c r="V3" s="826"/>
      <c r="W3" s="914"/>
    </row>
    <row r="4" spans="1:23" ht="15.3" customHeight="1" thickBot="1" x14ac:dyDescent="0.25">
      <c r="N4"/>
      <c r="O4" s="826"/>
      <c r="P4" s="826"/>
      <c r="Q4" s="826"/>
      <c r="R4" s="914"/>
      <c r="S4" s="914"/>
      <c r="T4" s="826"/>
      <c r="U4" s="826"/>
      <c r="V4" s="826"/>
      <c r="W4" s="914"/>
    </row>
    <row r="5" spans="1:23" ht="25.5" customHeight="1" thickBot="1" x14ac:dyDescent="0.25">
      <c r="A5" s="918" t="s">
        <v>1012</v>
      </c>
      <c r="B5" s="919"/>
      <c r="C5" s="920"/>
      <c r="D5" s="921"/>
      <c r="E5" s="918" t="s">
        <v>1013</v>
      </c>
      <c r="F5" s="919"/>
      <c r="G5" s="920"/>
      <c r="H5" s="922" t="s">
        <v>647</v>
      </c>
      <c r="I5" s="923"/>
      <c r="J5" s="923"/>
      <c r="K5" s="923"/>
      <c r="L5" s="923"/>
      <c r="N5" s="924"/>
      <c r="O5" s="924"/>
      <c r="P5" s="924"/>
      <c r="Q5" s="924"/>
    </row>
    <row r="6" spans="1:23" ht="18" customHeight="1" x14ac:dyDescent="0.2">
      <c r="A6" s="925" t="s">
        <v>115</v>
      </c>
      <c r="B6" s="927" t="s">
        <v>116</v>
      </c>
      <c r="C6" s="927" t="s">
        <v>230</v>
      </c>
      <c r="D6" s="928"/>
      <c r="E6" s="925" t="s">
        <v>115</v>
      </c>
      <c r="F6" s="966" t="s">
        <v>116</v>
      </c>
      <c r="G6" s="930" t="s">
        <v>230</v>
      </c>
      <c r="H6" s="1561" t="str">
        <f>IF(AND(SUMIF($S:$S,"SQ9",$R:$R)=0,ISBLANK('SICI(4)'!F13),ISBLANK('SICI(4)'!F17)),"OK",IF(AND(ABS(SUMIF($S:$S,"SQ9",$R:$R))&gt;0,ISBLANK('SICI(4)'!F13),ISBLANK('SICI(4)'!F17)),"Attenzione: inserire le voci di costituzione del fondo unicamente in presenza di certificazione dello stesso (cfr. SICI GEN353 o GEN355) !",IF(AND(SUMIF($S:$S,"SQ9",$R:$R)=0,SUM('SICI(4)'!F13,'SICI(4)'!F17)&gt;0),"Attenzione: in presenza di date di certificazione del fondo (cfr. SICI GEN353 o GEN355) è necessario compilare il lato costituzione di T15 !","OK")))</f>
        <v>OK</v>
      </c>
      <c r="I6" s="923"/>
      <c r="J6" s="923"/>
      <c r="K6" s="923"/>
      <c r="L6" s="923"/>
      <c r="M6" s="924"/>
      <c r="N6" s="924"/>
      <c r="O6" s="924"/>
      <c r="P6" s="924"/>
      <c r="Q6" s="924"/>
    </row>
    <row r="7" spans="1:23" ht="17.100000000000001" customHeight="1" x14ac:dyDescent="0.3">
      <c r="A7" s="931" t="s">
        <v>658</v>
      </c>
      <c r="B7" s="932"/>
      <c r="C7" s="933"/>
      <c r="D7" s="934"/>
      <c r="E7" s="931" t="str">
        <f>A7</f>
        <v>Fondo Area dei Professionisti</v>
      </c>
      <c r="F7" s="932"/>
      <c r="G7" s="933"/>
      <c r="H7" s="1564"/>
      <c r="I7" s="923"/>
      <c r="J7" s="923"/>
      <c r="K7" s="923"/>
      <c r="L7" s="923"/>
      <c r="O7" s="767" t="s">
        <v>649</v>
      </c>
      <c r="P7" s="935"/>
      <c r="Q7" s="936"/>
      <c r="R7" s="936"/>
      <c r="S7" s="914"/>
      <c r="T7" s="767" t="s">
        <v>650</v>
      </c>
      <c r="U7" s="935"/>
      <c r="V7" s="936"/>
      <c r="W7" s="936"/>
    </row>
    <row r="8" spans="1:23" ht="17.100000000000001" customHeight="1" x14ac:dyDescent="0.25">
      <c r="A8" s="937" t="s">
        <v>651</v>
      </c>
      <c r="B8" s="938"/>
      <c r="C8" s="939"/>
      <c r="D8" s="940"/>
      <c r="E8" s="941" t="s">
        <v>864</v>
      </c>
      <c r="F8" s="942"/>
      <c r="G8" s="943"/>
      <c r="H8" s="1564"/>
      <c r="I8" s="923"/>
      <c r="J8" s="923"/>
      <c r="K8" s="923"/>
      <c r="L8" s="923"/>
      <c r="O8" s="768" t="s">
        <v>652</v>
      </c>
      <c r="P8" s="768" t="s">
        <v>653</v>
      </c>
      <c r="Q8" s="768" t="s">
        <v>654</v>
      </c>
      <c r="R8" s="768" t="s">
        <v>655</v>
      </c>
      <c r="S8" s="914"/>
      <c r="T8" s="768" t="s">
        <v>652</v>
      </c>
      <c r="U8" s="768" t="s">
        <v>653</v>
      </c>
      <c r="V8" s="768" t="s">
        <v>654</v>
      </c>
      <c r="W8" s="768" t="s">
        <v>655</v>
      </c>
    </row>
    <row r="9" spans="1:23" ht="17.100000000000001" customHeight="1" x14ac:dyDescent="0.2">
      <c r="A9" s="901" t="s">
        <v>781</v>
      </c>
      <c r="B9" s="966" t="s">
        <v>475</v>
      </c>
      <c r="C9" s="944"/>
      <c r="D9" s="921"/>
      <c r="E9" s="901" t="s">
        <v>588</v>
      </c>
      <c r="F9" s="966" t="s">
        <v>512</v>
      </c>
      <c r="G9" s="944"/>
      <c r="H9" s="1564"/>
      <c r="I9" s="923"/>
      <c r="J9" s="923"/>
      <c r="K9" s="923"/>
      <c r="L9" s="923"/>
      <c r="O9" s="913">
        <v>28</v>
      </c>
      <c r="P9" s="913">
        <v>7</v>
      </c>
      <c r="Q9" s="913" t="str">
        <f>B9</f>
        <v>F76G</v>
      </c>
      <c r="R9" s="945">
        <f>IF(ISNUMBER(C9),ROUND(C9,0),0)</f>
        <v>0</v>
      </c>
      <c r="S9" s="913" t="str">
        <f t="shared" ref="S9:S18" si="0">VLOOKUP(O9,$Q:$R,2,FALSE)</f>
        <v>SQ9</v>
      </c>
      <c r="T9" s="913">
        <v>28</v>
      </c>
      <c r="U9" s="913">
        <v>61</v>
      </c>
      <c r="V9" s="913" t="str">
        <f t="shared" ref="V9:V14" si="1">F9</f>
        <v>U552</v>
      </c>
      <c r="W9" s="945">
        <f t="shared" ref="W9:W14" si="2">IF(ISNUMBER(G9),ROUND(G9,0),0)</f>
        <v>0</v>
      </c>
    </row>
    <row r="10" spans="1:23" ht="17.100000000000001" customHeight="1" x14ac:dyDescent="0.2">
      <c r="A10" s="901" t="s">
        <v>1143</v>
      </c>
      <c r="B10" s="966" t="s">
        <v>515</v>
      </c>
      <c r="C10" s="944"/>
      <c r="D10" s="921"/>
      <c r="E10" s="901" t="s">
        <v>589</v>
      </c>
      <c r="F10" s="966" t="s">
        <v>513</v>
      </c>
      <c r="G10" s="944"/>
      <c r="H10" s="1564"/>
      <c r="I10" s="923"/>
      <c r="J10" s="923"/>
      <c r="K10" s="923"/>
      <c r="L10" s="923"/>
      <c r="O10" s="913">
        <v>28</v>
      </c>
      <c r="P10" s="913">
        <v>7</v>
      </c>
      <c r="Q10" s="913" t="str">
        <f t="shared" ref="Q10:Q18" si="3">B10</f>
        <v>F99G</v>
      </c>
      <c r="R10" s="945">
        <f t="shared" ref="R10:R18" si="4">IF(ISNUMBER(C10),ROUND(C10,0),0)</f>
        <v>0</v>
      </c>
      <c r="S10" s="913" t="str">
        <f t="shared" si="0"/>
        <v>SQ9</v>
      </c>
      <c r="T10" s="913">
        <v>28</v>
      </c>
      <c r="U10" s="913">
        <v>61</v>
      </c>
      <c r="V10" s="913" t="str">
        <f t="shared" si="1"/>
        <v>U554</v>
      </c>
      <c r="W10" s="945">
        <f t="shared" si="2"/>
        <v>0</v>
      </c>
    </row>
    <row r="11" spans="1:23" ht="17.100000000000001" customHeight="1" thickBot="1" x14ac:dyDescent="0.25">
      <c r="A11" s="901" t="s">
        <v>782</v>
      </c>
      <c r="B11" s="966" t="s">
        <v>516</v>
      </c>
      <c r="C11" s="944"/>
      <c r="D11" s="921"/>
      <c r="E11" s="901" t="s">
        <v>590</v>
      </c>
      <c r="F11" s="966" t="s">
        <v>514</v>
      </c>
      <c r="G11" s="944"/>
      <c r="H11" s="1565"/>
      <c r="I11" s="923"/>
      <c r="J11" s="923"/>
      <c r="K11" s="923"/>
      <c r="L11" s="923"/>
      <c r="O11" s="913">
        <v>28</v>
      </c>
      <c r="P11" s="913">
        <v>7</v>
      </c>
      <c r="Q11" s="913" t="str">
        <f t="shared" si="3"/>
        <v>F01H</v>
      </c>
      <c r="R11" s="945">
        <f t="shared" si="4"/>
        <v>0</v>
      </c>
      <c r="S11" s="913" t="str">
        <f t="shared" si="0"/>
        <v>SQ9</v>
      </c>
      <c r="T11" s="913">
        <v>28</v>
      </c>
      <c r="U11" s="913">
        <v>61</v>
      </c>
      <c r="V11" s="913" t="str">
        <f t="shared" si="1"/>
        <v>U556</v>
      </c>
      <c r="W11" s="945">
        <f t="shared" si="2"/>
        <v>0</v>
      </c>
    </row>
    <row r="12" spans="1:23" ht="17.100000000000001" customHeight="1" thickBot="1" x14ac:dyDescent="0.25">
      <c r="A12" s="901" t="s">
        <v>783</v>
      </c>
      <c r="B12" s="966" t="s">
        <v>517</v>
      </c>
      <c r="C12" s="944"/>
      <c r="D12" s="921"/>
      <c r="E12" s="901" t="s">
        <v>616</v>
      </c>
      <c r="F12" s="966" t="s">
        <v>617</v>
      </c>
      <c r="G12" s="944"/>
      <c r="H12" s="950" t="s">
        <v>734</v>
      </c>
      <c r="I12" s="923"/>
      <c r="J12" s="923"/>
      <c r="K12" s="923"/>
      <c r="L12" s="923"/>
      <c r="O12" s="913">
        <v>28</v>
      </c>
      <c r="P12" s="913">
        <v>7</v>
      </c>
      <c r="Q12" s="913" t="str">
        <f t="shared" si="3"/>
        <v>F02H</v>
      </c>
      <c r="R12" s="945">
        <f t="shared" si="4"/>
        <v>0</v>
      </c>
      <c r="S12" s="913" t="str">
        <f t="shared" si="0"/>
        <v>SQ9</v>
      </c>
      <c r="T12" s="913">
        <v>28</v>
      </c>
      <c r="U12" s="913">
        <v>61</v>
      </c>
      <c r="V12" s="913" t="str">
        <f t="shared" si="1"/>
        <v>U10I</v>
      </c>
      <c r="W12" s="945">
        <f t="shared" si="2"/>
        <v>0</v>
      </c>
    </row>
    <row r="13" spans="1:23" ht="17.100000000000001" customHeight="1" x14ac:dyDescent="0.2">
      <c r="A13" s="901" t="s">
        <v>858</v>
      </c>
      <c r="B13" s="966" t="s">
        <v>859</v>
      </c>
      <c r="C13" s="944"/>
      <c r="D13" s="921"/>
      <c r="E13" s="901" t="s">
        <v>618</v>
      </c>
      <c r="F13" s="966" t="s">
        <v>619</v>
      </c>
      <c r="G13" s="944"/>
      <c r="H13" s="1561" t="str">
        <f>IF(LEN(H15&amp;H16&amp;H18&amp;H19)&gt;0,"Attenzione, le seguenti voci creano incongruenza perché magg. del 10% del totale:","OK")</f>
        <v>OK</v>
      </c>
      <c r="I13" s="923"/>
      <c r="J13" s="923"/>
      <c r="K13" s="923"/>
      <c r="L13" s="923"/>
      <c r="O13" s="913">
        <v>28</v>
      </c>
      <c r="P13" s="913">
        <v>7</v>
      </c>
      <c r="Q13" s="913" t="str">
        <f t="shared" si="3"/>
        <v>F12J</v>
      </c>
      <c r="R13" s="945">
        <f t="shared" si="4"/>
        <v>0</v>
      </c>
      <c r="S13" s="913" t="str">
        <f t="shared" si="0"/>
        <v>SQ9</v>
      </c>
      <c r="T13" s="913">
        <v>28</v>
      </c>
      <c r="U13" s="913">
        <v>61</v>
      </c>
      <c r="V13" s="913" t="str">
        <f t="shared" si="1"/>
        <v>U11I</v>
      </c>
      <c r="W13" s="945">
        <f t="shared" si="2"/>
        <v>0</v>
      </c>
    </row>
    <row r="14" spans="1:23" ht="17.100000000000001" customHeight="1" x14ac:dyDescent="0.2">
      <c r="A14" s="946" t="s">
        <v>1192</v>
      </c>
      <c r="B14" s="947" t="s">
        <v>1144</v>
      </c>
      <c r="C14" s="944"/>
      <c r="D14" s="921"/>
      <c r="E14" s="948" t="s">
        <v>584</v>
      </c>
      <c r="F14" s="949" t="s">
        <v>488</v>
      </c>
      <c r="G14" s="944"/>
      <c r="H14" s="1564"/>
      <c r="I14" s="923"/>
      <c r="J14" s="923"/>
      <c r="K14" s="923"/>
      <c r="L14" s="923"/>
      <c r="O14" s="913">
        <v>28</v>
      </c>
      <c r="P14" s="913">
        <v>7</v>
      </c>
      <c r="Q14" s="913" t="str">
        <f t="shared" si="3"/>
        <v>F27Q</v>
      </c>
      <c r="R14" s="945">
        <f t="shared" si="4"/>
        <v>0</v>
      </c>
      <c r="S14" s="913" t="str">
        <f t="shared" si="0"/>
        <v>SQ9</v>
      </c>
      <c r="T14" s="952">
        <v>28</v>
      </c>
      <c r="U14" s="952">
        <v>61</v>
      </c>
      <c r="V14" s="952" t="str">
        <f t="shared" si="1"/>
        <v>U998</v>
      </c>
      <c r="W14" s="953">
        <f t="shared" si="2"/>
        <v>0</v>
      </c>
    </row>
    <row r="15" spans="1:23" ht="17.100000000000001" customHeight="1" thickBot="1" x14ac:dyDescent="0.3">
      <c r="A15" s="901" t="s">
        <v>784</v>
      </c>
      <c r="B15" s="966" t="s">
        <v>518</v>
      </c>
      <c r="C15" s="944"/>
      <c r="D15" s="921"/>
      <c r="E15" s="954" t="s">
        <v>865</v>
      </c>
      <c r="F15" s="1003"/>
      <c r="G15" s="1004">
        <f>SUM(G9:G14)</f>
        <v>0</v>
      </c>
      <c r="H15" s="1058" t="str">
        <f>IF(C43&lt;&gt;0,IF(R18/ABS(C$43)&gt;0.1,"Fondo professionisti - Altre risorse fisse - F00O",""),"")</f>
        <v/>
      </c>
      <c r="I15" s="923"/>
      <c r="J15" s="923"/>
      <c r="K15" s="923"/>
      <c r="L15" s="923"/>
      <c r="O15" s="913">
        <v>28</v>
      </c>
      <c r="P15" s="913">
        <v>7</v>
      </c>
      <c r="Q15" s="913" t="str">
        <f t="shared" si="3"/>
        <v>F03H</v>
      </c>
      <c r="R15" s="945">
        <f t="shared" si="4"/>
        <v>0</v>
      </c>
      <c r="S15" s="913" t="str">
        <f t="shared" si="0"/>
        <v>SQ9</v>
      </c>
      <c r="T15" s="913" t="s">
        <v>547</v>
      </c>
      <c r="U15" s="913"/>
      <c r="V15" s="913"/>
      <c r="W15" s="913"/>
    </row>
    <row r="16" spans="1:23" ht="17.100000000000001" customHeight="1" thickBot="1" x14ac:dyDescent="0.3">
      <c r="A16" s="901" t="s">
        <v>785</v>
      </c>
      <c r="B16" s="966" t="s">
        <v>519</v>
      </c>
      <c r="C16" s="944"/>
      <c r="D16" s="921"/>
      <c r="E16" s="1055" t="s">
        <v>591</v>
      </c>
      <c r="F16" s="1056"/>
      <c r="G16" s="1057">
        <f>G15</f>
        <v>0</v>
      </c>
      <c r="H16" s="1058" t="str">
        <f>IF(C43&lt;&gt;0,IF(R34/ABS(C$43)&gt;0.1,"Fondo professionisti - Altre risorse variabili - F00O",""),"")</f>
        <v/>
      </c>
      <c r="I16" s="923"/>
      <c r="J16" s="923"/>
      <c r="K16" s="923"/>
      <c r="L16" s="923"/>
      <c r="O16" s="913">
        <v>28</v>
      </c>
      <c r="P16" s="913">
        <v>7</v>
      </c>
      <c r="Q16" s="913" t="str">
        <f t="shared" si="3"/>
        <v>F04C</v>
      </c>
      <c r="R16" s="945">
        <f t="shared" si="4"/>
        <v>0</v>
      </c>
      <c r="S16" s="913" t="str">
        <f t="shared" si="0"/>
        <v>SQ9</v>
      </c>
      <c r="T16" s="913"/>
      <c r="U16" s="913"/>
      <c r="V16" s="913"/>
      <c r="W16" s="913"/>
    </row>
    <row r="17" spans="1:23" ht="17.100000000000001" customHeight="1" x14ac:dyDescent="0.25">
      <c r="A17" s="901" t="s">
        <v>999</v>
      </c>
      <c r="B17" s="966" t="s">
        <v>866</v>
      </c>
      <c r="C17" s="944"/>
      <c r="D17" s="921"/>
      <c r="E17" s="1008"/>
      <c r="F17" s="1012"/>
      <c r="G17" s="1011"/>
      <c r="H17" s="1058"/>
      <c r="I17" s="923"/>
      <c r="J17" s="923"/>
      <c r="K17" s="923"/>
      <c r="L17" s="923"/>
      <c r="O17" s="913">
        <v>28</v>
      </c>
      <c r="P17" s="913">
        <v>7</v>
      </c>
      <c r="Q17" s="913" t="str">
        <f>B17</f>
        <v>F16L</v>
      </c>
      <c r="R17" s="945">
        <f>IF(ISNUMBER(C17),ROUND(C17,0),0)</f>
        <v>0</v>
      </c>
      <c r="S17" s="913" t="str">
        <f t="shared" si="0"/>
        <v>SQ9</v>
      </c>
      <c r="T17" s="913"/>
      <c r="U17" s="913"/>
      <c r="V17" s="913"/>
      <c r="W17" s="913"/>
    </row>
    <row r="18" spans="1:23" ht="17.100000000000001" customHeight="1" x14ac:dyDescent="0.25">
      <c r="A18" s="901" t="s">
        <v>917</v>
      </c>
      <c r="B18" s="966" t="s">
        <v>918</v>
      </c>
      <c r="C18" s="944"/>
      <c r="D18" s="921"/>
      <c r="E18" s="1008"/>
      <c r="F18" s="1012"/>
      <c r="G18" s="1011"/>
      <c r="H18" s="1058" t="str">
        <f>IF(C43&lt;&gt;0,IF(R41/ABS(C$43)&gt;0.1,"Fondo professionisti - Altre decurtazioni - F01P",""),"")</f>
        <v/>
      </c>
      <c r="I18" s="923"/>
      <c r="J18" s="923"/>
      <c r="K18" s="923"/>
      <c r="L18" s="923"/>
      <c r="O18" s="952">
        <v>28</v>
      </c>
      <c r="P18" s="952">
        <v>7</v>
      </c>
      <c r="Q18" s="952" t="str">
        <f t="shared" si="3"/>
        <v>F00O</v>
      </c>
      <c r="R18" s="953">
        <f t="shared" si="4"/>
        <v>0</v>
      </c>
      <c r="S18" s="913" t="str">
        <f t="shared" si="0"/>
        <v>SQ9</v>
      </c>
      <c r="T18" s="913"/>
      <c r="U18" s="913"/>
      <c r="V18" s="913"/>
      <c r="W18" s="945"/>
    </row>
    <row r="19" spans="1:23" ht="17.100000000000001" customHeight="1" thickBot="1" x14ac:dyDescent="0.3">
      <c r="A19" s="1014" t="s">
        <v>345</v>
      </c>
      <c r="B19" s="1003"/>
      <c r="C19" s="1004">
        <f>SUM(C9:C18)</f>
        <v>0</v>
      </c>
      <c r="D19" s="921"/>
      <c r="E19" s="1013"/>
      <c r="F19" s="1012"/>
      <c r="G19" s="1011"/>
      <c r="H19" s="1058" t="str">
        <f>IF(G44&lt;&gt;0,IF(W14/ABS(G44)&gt;0.1,"Fondo professionisti - Altre destinazioni - U998",""),"")</f>
        <v/>
      </c>
      <c r="I19" s="923"/>
      <c r="J19" s="923"/>
      <c r="K19" s="923"/>
      <c r="L19" s="923"/>
      <c r="S19" s="1035"/>
      <c r="T19" s="913"/>
      <c r="U19" s="913"/>
      <c r="V19" s="913"/>
      <c r="W19" s="945"/>
    </row>
    <row r="20" spans="1:23" ht="17.100000000000001" customHeight="1" x14ac:dyDescent="0.25">
      <c r="A20" s="1015" t="s">
        <v>346</v>
      </c>
      <c r="B20" s="1016"/>
      <c r="C20" s="1017"/>
      <c r="D20" s="921"/>
      <c r="E20" s="1008"/>
      <c r="F20" s="1012"/>
      <c r="G20" s="1011"/>
      <c r="H20" s="1372"/>
      <c r="I20" s="923"/>
      <c r="J20" s="923"/>
      <c r="K20" s="923"/>
      <c r="L20" s="923"/>
      <c r="T20" s="965"/>
      <c r="U20" s="965"/>
      <c r="V20" s="913"/>
      <c r="W20" s="945"/>
    </row>
    <row r="21" spans="1:23" ht="17.100000000000001" customHeight="1" thickBot="1" x14ac:dyDescent="0.3">
      <c r="A21" s="901" t="s">
        <v>748</v>
      </c>
      <c r="B21" s="927" t="s">
        <v>481</v>
      </c>
      <c r="C21" s="944"/>
      <c r="D21" s="921"/>
      <c r="E21" s="1008"/>
      <c r="F21" s="1012"/>
      <c r="G21" s="1011"/>
      <c r="H21" s="1059"/>
      <c r="I21" s="923"/>
      <c r="J21" s="923"/>
      <c r="K21" s="923"/>
      <c r="L21" s="923"/>
      <c r="O21" s="913">
        <v>28</v>
      </c>
      <c r="P21" s="913">
        <v>9</v>
      </c>
      <c r="Q21" s="913" t="str">
        <f t="shared" ref="Q21:Q34" si="5">B21</f>
        <v>F50H</v>
      </c>
      <c r="R21" s="945">
        <f t="shared" ref="R21:R34" si="6">IF(ISNUMBER(C21),ROUND(C21,0),0)</f>
        <v>0</v>
      </c>
      <c r="S21" s="913" t="str">
        <f t="shared" ref="S21:S34" si="7">VLOOKUP(O21,$Q:$R,2,FALSE)</f>
        <v>SQ9</v>
      </c>
      <c r="U21" s="913"/>
      <c r="V21" s="913"/>
      <c r="W21" s="913"/>
    </row>
    <row r="22" spans="1:23" ht="17.100000000000001" customHeight="1" thickBot="1" x14ac:dyDescent="0.25">
      <c r="A22" s="977" t="s">
        <v>749</v>
      </c>
      <c r="B22" s="927" t="s">
        <v>482</v>
      </c>
      <c r="C22" s="944"/>
      <c r="D22" s="921"/>
      <c r="E22" s="1008"/>
      <c r="F22" s="1012"/>
      <c r="G22" s="1011"/>
      <c r="H22" s="950" t="s">
        <v>1014</v>
      </c>
      <c r="I22" s="924"/>
      <c r="J22" s="924"/>
      <c r="K22" s="924"/>
      <c r="O22" s="913">
        <v>28</v>
      </c>
      <c r="P22" s="913">
        <v>9</v>
      </c>
      <c r="Q22" s="913" t="str">
        <f t="shared" si="5"/>
        <v>F51H</v>
      </c>
      <c r="R22" s="945">
        <f t="shared" si="6"/>
        <v>0</v>
      </c>
      <c r="S22" s="913" t="str">
        <f t="shared" si="7"/>
        <v>SQ9</v>
      </c>
      <c r="T22" s="913"/>
      <c r="U22" s="913"/>
      <c r="V22" s="913"/>
      <c r="W22" s="913"/>
    </row>
    <row r="23" spans="1:23" ht="17.100000000000001" customHeight="1" x14ac:dyDescent="0.2">
      <c r="A23" s="901" t="s">
        <v>997</v>
      </c>
      <c r="B23" s="966" t="s">
        <v>839</v>
      </c>
      <c r="C23" s="944"/>
      <c r="D23" s="921"/>
      <c r="E23" s="1008"/>
      <c r="F23" s="1012"/>
      <c r="G23" s="1011"/>
      <c r="H23" s="1561" t="str">
        <f>IF(AND(SUMIF($O:$O,$Q1,$R:$R)&lt;&gt;0,SUM('SICI(4)'!$F$13,'SICI(4)'!$F$17)&gt;0),IF(SUMIFS($R:$R,$P:$P,"&lt;&gt;81",$O:$O,$Q1)-SUMIFS($R:$R,$P:$P,"81",$O:$O,$Q1)-SUMIF($T:$T,$Q1,$W:$W)&lt;0,"Attenzione, nelle seguenti sezioni le destinazioni risultano superiori alle relative risorse e generano pertanto squadratura 8: "&amp;CHAR(10)&amp;A7,"OK"),"OK")</f>
        <v>OK</v>
      </c>
      <c r="O23" s="913">
        <v>28</v>
      </c>
      <c r="P23" s="913">
        <v>9</v>
      </c>
      <c r="Q23" s="913" t="str">
        <f t="shared" si="5"/>
        <v>F10M</v>
      </c>
      <c r="R23" s="945">
        <f t="shared" si="6"/>
        <v>0</v>
      </c>
      <c r="S23" s="913" t="str">
        <f t="shared" si="7"/>
        <v>SQ9</v>
      </c>
      <c r="T23" s="913"/>
      <c r="U23" s="913"/>
      <c r="V23" s="913"/>
      <c r="W23" s="913"/>
    </row>
    <row r="24" spans="1:23" ht="17.100000000000001" customHeight="1" x14ac:dyDescent="0.2">
      <c r="A24" s="901" t="s">
        <v>998</v>
      </c>
      <c r="B24" s="966" t="s">
        <v>840</v>
      </c>
      <c r="C24" s="944"/>
      <c r="D24" s="921"/>
      <c r="E24" s="1008"/>
      <c r="F24" s="1012"/>
      <c r="G24" s="1011"/>
      <c r="H24" s="1568"/>
      <c r="O24" s="913">
        <v>28</v>
      </c>
      <c r="P24" s="913">
        <v>9</v>
      </c>
      <c r="Q24" s="913" t="str">
        <f t="shared" si="5"/>
        <v>F10N</v>
      </c>
      <c r="R24" s="945">
        <f t="shared" si="6"/>
        <v>0</v>
      </c>
      <c r="S24" s="913" t="str">
        <f t="shared" si="7"/>
        <v>SQ9</v>
      </c>
      <c r="T24" s="913"/>
      <c r="U24" s="913"/>
      <c r="V24" s="913"/>
      <c r="W24" s="913"/>
    </row>
    <row r="25" spans="1:23" ht="17.100000000000001" customHeight="1" x14ac:dyDescent="0.2">
      <c r="A25" s="901" t="s">
        <v>750</v>
      </c>
      <c r="B25" s="927" t="s">
        <v>583</v>
      </c>
      <c r="C25" s="944"/>
      <c r="D25" s="921"/>
      <c r="E25" s="1008"/>
      <c r="F25" s="1012"/>
      <c r="G25" s="1011"/>
      <c r="H25" s="1568"/>
      <c r="O25" s="913">
        <v>28</v>
      </c>
      <c r="P25" s="913">
        <v>9</v>
      </c>
      <c r="Q25" s="913" t="str">
        <f t="shared" si="5"/>
        <v>F96H</v>
      </c>
      <c r="R25" s="945">
        <f t="shared" si="6"/>
        <v>0</v>
      </c>
      <c r="S25" s="913" t="str">
        <f t="shared" si="7"/>
        <v>SQ9</v>
      </c>
      <c r="T25" s="913"/>
      <c r="U25" s="913"/>
      <c r="V25" s="913"/>
      <c r="W25" s="913"/>
    </row>
    <row r="26" spans="1:23" ht="17.100000000000001" customHeight="1" thickBot="1" x14ac:dyDescent="0.25">
      <c r="A26" s="901" t="s">
        <v>1193</v>
      </c>
      <c r="B26" s="966" t="s">
        <v>860</v>
      </c>
      <c r="C26" s="944"/>
      <c r="D26" s="921"/>
      <c r="E26" s="1008"/>
      <c r="F26" s="1012"/>
      <c r="G26" s="1011"/>
      <c r="H26" s="1569"/>
      <c r="O26" s="913">
        <v>28</v>
      </c>
      <c r="P26" s="913">
        <v>9</v>
      </c>
      <c r="Q26" s="913" t="str">
        <f t="shared" si="5"/>
        <v>F12K</v>
      </c>
      <c r="R26" s="945">
        <f t="shared" si="6"/>
        <v>0</v>
      </c>
      <c r="S26" s="913" t="str">
        <f t="shared" si="7"/>
        <v>SQ9</v>
      </c>
      <c r="T26" s="913"/>
      <c r="U26" s="913"/>
      <c r="V26" s="913"/>
      <c r="W26" s="913"/>
    </row>
    <row r="27" spans="1:23" ht="17.100000000000001" customHeight="1" x14ac:dyDescent="0.2">
      <c r="A27" s="901" t="s">
        <v>786</v>
      </c>
      <c r="B27" s="927" t="s">
        <v>520</v>
      </c>
      <c r="C27" s="944"/>
      <c r="D27" s="921"/>
      <c r="E27" s="1008"/>
      <c r="F27" s="1012"/>
      <c r="G27" s="1011"/>
      <c r="H27" s="1373"/>
      <c r="O27" s="913">
        <v>28</v>
      </c>
      <c r="P27" s="913">
        <v>9</v>
      </c>
      <c r="Q27" s="913" t="str">
        <f t="shared" si="5"/>
        <v>F04H</v>
      </c>
      <c r="R27" s="945">
        <f t="shared" si="6"/>
        <v>0</v>
      </c>
      <c r="S27" s="913" t="str">
        <f t="shared" si="7"/>
        <v>SQ9</v>
      </c>
      <c r="T27" s="913"/>
      <c r="U27" s="913"/>
      <c r="V27" s="913"/>
      <c r="W27" s="913"/>
    </row>
    <row r="28" spans="1:23" ht="17.100000000000001" customHeight="1" x14ac:dyDescent="0.2">
      <c r="A28" s="901" t="s">
        <v>788</v>
      </c>
      <c r="B28" s="927" t="s">
        <v>521</v>
      </c>
      <c r="C28" s="944"/>
      <c r="D28" s="921"/>
      <c r="E28" s="1008"/>
      <c r="F28" s="1012"/>
      <c r="G28" s="1011"/>
      <c r="O28" s="913">
        <v>28</v>
      </c>
      <c r="P28" s="913">
        <v>9</v>
      </c>
      <c r="Q28" s="913" t="str">
        <f t="shared" si="5"/>
        <v>F05C</v>
      </c>
      <c r="R28" s="945">
        <f t="shared" si="6"/>
        <v>0</v>
      </c>
      <c r="S28" s="913" t="str">
        <f t="shared" si="7"/>
        <v>SQ9</v>
      </c>
      <c r="T28" s="913"/>
      <c r="U28" s="913"/>
      <c r="V28" s="913"/>
      <c r="W28" s="913"/>
    </row>
    <row r="29" spans="1:23" ht="17.100000000000001" customHeight="1" x14ac:dyDescent="0.2">
      <c r="A29" s="901" t="s">
        <v>787</v>
      </c>
      <c r="B29" s="927" t="s">
        <v>522</v>
      </c>
      <c r="C29" s="944"/>
      <c r="D29" s="921"/>
      <c r="E29" s="1008"/>
      <c r="F29" s="1012"/>
      <c r="G29" s="1011"/>
      <c r="O29" s="913">
        <v>28</v>
      </c>
      <c r="P29" s="913">
        <v>9</v>
      </c>
      <c r="Q29" s="913" t="str">
        <f t="shared" si="5"/>
        <v>F06C</v>
      </c>
      <c r="R29" s="945">
        <f t="shared" si="6"/>
        <v>0</v>
      </c>
      <c r="S29" s="913" t="str">
        <f t="shared" si="7"/>
        <v>SQ9</v>
      </c>
      <c r="T29" s="913"/>
      <c r="U29" s="913"/>
      <c r="V29" s="913"/>
      <c r="W29" s="913"/>
    </row>
    <row r="30" spans="1:23" ht="17.100000000000001" customHeight="1" x14ac:dyDescent="0.2">
      <c r="A30" s="901" t="s">
        <v>919</v>
      </c>
      <c r="B30" s="927" t="s">
        <v>920</v>
      </c>
      <c r="C30" s="944"/>
      <c r="D30" s="921"/>
      <c r="E30" s="1008"/>
      <c r="F30" s="1012"/>
      <c r="G30" s="1011"/>
      <c r="O30" s="913">
        <v>28</v>
      </c>
      <c r="P30" s="913">
        <v>9</v>
      </c>
      <c r="Q30" s="913" t="str">
        <f t="shared" si="5"/>
        <v>F19S</v>
      </c>
      <c r="R30" s="945">
        <f t="shared" si="6"/>
        <v>0</v>
      </c>
      <c r="S30" s="913" t="str">
        <f t="shared" si="7"/>
        <v>SQ9</v>
      </c>
      <c r="T30" s="913"/>
      <c r="U30" s="913"/>
      <c r="V30" s="913"/>
      <c r="W30" s="913"/>
    </row>
    <row r="31" spans="1:23" ht="17.100000000000001" customHeight="1" x14ac:dyDescent="0.2">
      <c r="A31" s="901" t="s">
        <v>789</v>
      </c>
      <c r="B31" s="927" t="s">
        <v>523</v>
      </c>
      <c r="C31" s="944"/>
      <c r="D31" s="921"/>
      <c r="E31" s="1008"/>
      <c r="F31" s="1012"/>
      <c r="G31" s="1011"/>
      <c r="O31" s="913">
        <v>28</v>
      </c>
      <c r="P31" s="913">
        <v>9</v>
      </c>
      <c r="Q31" s="913" t="str">
        <f t="shared" si="5"/>
        <v>F11C</v>
      </c>
      <c r="R31" s="945">
        <f t="shared" si="6"/>
        <v>0</v>
      </c>
      <c r="S31" s="913" t="str">
        <f t="shared" si="7"/>
        <v>SQ9</v>
      </c>
      <c r="T31" s="913"/>
      <c r="U31" s="913"/>
      <c r="V31" s="913"/>
      <c r="W31" s="913"/>
    </row>
    <row r="32" spans="1:23" ht="17.100000000000001" customHeight="1" x14ac:dyDescent="0.2">
      <c r="A32" s="901" t="s">
        <v>1135</v>
      </c>
      <c r="B32" s="1371" t="s">
        <v>1136</v>
      </c>
      <c r="C32" s="944"/>
      <c r="D32" s="921"/>
      <c r="E32" s="1008"/>
      <c r="F32" s="1012"/>
      <c r="G32" s="1011"/>
      <c r="O32" s="913">
        <v>28</v>
      </c>
      <c r="P32" s="913">
        <v>9</v>
      </c>
      <c r="Q32" s="913" t="str">
        <f t="shared" si="5"/>
        <v>F24T</v>
      </c>
      <c r="R32" s="945">
        <f t="shared" si="6"/>
        <v>0</v>
      </c>
      <c r="S32" s="913" t="str">
        <f t="shared" si="7"/>
        <v>SQ9</v>
      </c>
      <c r="T32" s="913"/>
      <c r="U32" s="913"/>
      <c r="V32" s="913"/>
      <c r="W32" s="913"/>
    </row>
    <row r="33" spans="1:23" ht="17.100000000000001" customHeight="1" x14ac:dyDescent="0.2">
      <c r="A33" s="946" t="s">
        <v>1137</v>
      </c>
      <c r="B33" s="947" t="s">
        <v>486</v>
      </c>
      <c r="C33" s="944"/>
      <c r="D33" s="921"/>
      <c r="E33" s="1008"/>
      <c r="F33" s="1012"/>
      <c r="G33" s="1011"/>
      <c r="O33" s="913">
        <v>28</v>
      </c>
      <c r="P33" s="913">
        <v>9</v>
      </c>
      <c r="Q33" s="913" t="str">
        <f t="shared" si="5"/>
        <v>F999</v>
      </c>
      <c r="R33" s="945">
        <f t="shared" si="6"/>
        <v>0</v>
      </c>
      <c r="S33" s="913" t="str">
        <f t="shared" si="7"/>
        <v>SQ9</v>
      </c>
      <c r="T33" s="913"/>
      <c r="U33" s="913"/>
      <c r="V33" s="913"/>
      <c r="W33" s="913"/>
    </row>
    <row r="34" spans="1:23" ht="17.100000000000001" customHeight="1" x14ac:dyDescent="0.2">
      <c r="A34" s="901" t="s">
        <v>917</v>
      </c>
      <c r="B34" s="966" t="s">
        <v>918</v>
      </c>
      <c r="C34" s="944"/>
      <c r="D34" s="921"/>
      <c r="E34" s="1008"/>
      <c r="F34" s="1012"/>
      <c r="G34" s="1011"/>
      <c r="O34" s="952">
        <v>28</v>
      </c>
      <c r="P34" s="952">
        <v>9</v>
      </c>
      <c r="Q34" s="952" t="str">
        <f t="shared" si="5"/>
        <v>F00O</v>
      </c>
      <c r="R34" s="953">
        <f t="shared" si="6"/>
        <v>0</v>
      </c>
      <c r="S34" s="913" t="str">
        <f t="shared" si="7"/>
        <v>SQ9</v>
      </c>
      <c r="T34" s="913"/>
      <c r="U34" s="913"/>
      <c r="V34" s="913"/>
      <c r="W34" s="913"/>
    </row>
    <row r="35" spans="1:23" ht="17.100000000000001" customHeight="1" thickBot="1" x14ac:dyDescent="0.25">
      <c r="A35" s="1014" t="s">
        <v>347</v>
      </c>
      <c r="B35" s="1003"/>
      <c r="C35" s="1004">
        <f>SUM(C21:C34)</f>
        <v>0</v>
      </c>
      <c r="D35" s="921"/>
      <c r="E35" s="1008"/>
      <c r="F35" s="1012"/>
      <c r="G35" s="1011"/>
      <c r="O35" s="913"/>
      <c r="P35" s="913"/>
      <c r="Q35" s="913"/>
      <c r="R35" s="945"/>
      <c r="S35" s="913"/>
      <c r="T35" s="913"/>
      <c r="U35" s="913"/>
      <c r="V35" s="913"/>
      <c r="W35" s="913"/>
    </row>
    <row r="36" spans="1:23" ht="17.100000000000001" customHeight="1" x14ac:dyDescent="0.25">
      <c r="A36" s="1019" t="s">
        <v>729</v>
      </c>
      <c r="B36" s="1016"/>
      <c r="C36" s="1020"/>
      <c r="D36" s="921"/>
      <c r="E36" s="1008"/>
      <c r="F36" s="1012"/>
      <c r="G36" s="1011"/>
      <c r="T36" s="913"/>
      <c r="U36" s="913"/>
      <c r="V36" s="913"/>
      <c r="W36" s="913"/>
    </row>
    <row r="37" spans="1:23" ht="17.100000000000001" customHeight="1" x14ac:dyDescent="0.2">
      <c r="A37" s="901" t="s">
        <v>754</v>
      </c>
      <c r="B37" s="927" t="s">
        <v>730</v>
      </c>
      <c r="C37" s="944"/>
      <c r="D37" s="921"/>
      <c r="E37" s="1009"/>
      <c r="F37" s="1060"/>
      <c r="G37" s="1011"/>
      <c r="O37" s="913">
        <v>28</v>
      </c>
      <c r="P37" s="913">
        <v>81</v>
      </c>
      <c r="Q37" s="913" t="str">
        <f>B37</f>
        <v>F02P</v>
      </c>
      <c r="R37" s="945">
        <f>IF(ISNUMBER(C37),ROUND(C37,0),0)</f>
        <v>0</v>
      </c>
      <c r="S37" s="913" t="str">
        <f>VLOOKUP(O37,$Q:$R,2,FALSE)</f>
        <v>SQ9</v>
      </c>
      <c r="T37" s="913"/>
      <c r="U37" s="913"/>
      <c r="V37" s="913"/>
      <c r="W37" s="913"/>
    </row>
    <row r="38" spans="1:23" ht="17.100000000000001" customHeight="1" x14ac:dyDescent="0.2">
      <c r="A38" s="901" t="s">
        <v>755</v>
      </c>
      <c r="B38" s="927" t="s">
        <v>615</v>
      </c>
      <c r="C38" s="944"/>
      <c r="D38" s="921"/>
      <c r="E38" s="1009"/>
      <c r="F38" s="1060"/>
      <c r="G38" s="1011"/>
      <c r="O38" s="913">
        <v>28</v>
      </c>
      <c r="P38" s="913">
        <v>81</v>
      </c>
      <c r="Q38" s="913" t="str">
        <f>B38</f>
        <v>F27I</v>
      </c>
      <c r="R38" s="945">
        <f>IF(ISNUMBER(C38),ROUND(C38,0),0)</f>
        <v>0</v>
      </c>
      <c r="S38" s="913" t="str">
        <f>VLOOKUP(O38,$Q:$R,2,FALSE)</f>
        <v>SQ9</v>
      </c>
      <c r="T38" s="913"/>
      <c r="U38" s="913"/>
      <c r="V38" s="913"/>
      <c r="W38" s="913"/>
    </row>
    <row r="39" spans="1:23" ht="17.100000000000001" customHeight="1" x14ac:dyDescent="0.2">
      <c r="A39" s="901" t="s">
        <v>800</v>
      </c>
      <c r="B39" s="927" t="s">
        <v>731</v>
      </c>
      <c r="C39" s="944"/>
      <c r="D39" s="921"/>
      <c r="E39" s="1009"/>
      <c r="F39" s="1060"/>
      <c r="G39" s="1011"/>
      <c r="O39" s="913">
        <v>28</v>
      </c>
      <c r="P39" s="913">
        <v>81</v>
      </c>
      <c r="Q39" s="913" t="str">
        <f>B39</f>
        <v>F00P</v>
      </c>
      <c r="R39" s="945">
        <f>IF(ISNUMBER(C39),ROUND(C39,0),0)</f>
        <v>0</v>
      </c>
      <c r="S39" s="913" t="str">
        <f>VLOOKUP(O39,$Q:$R,2,FALSE)</f>
        <v>SQ9</v>
      </c>
      <c r="T39" s="913"/>
      <c r="U39" s="913"/>
      <c r="V39" s="913"/>
      <c r="W39" s="913"/>
    </row>
    <row r="40" spans="1:23" ht="17.100000000000001" customHeight="1" x14ac:dyDescent="0.2">
      <c r="A40" s="901" t="s">
        <v>756</v>
      </c>
      <c r="B40" s="989" t="s">
        <v>757</v>
      </c>
      <c r="C40" s="944"/>
      <c r="D40" s="921"/>
      <c r="E40" s="1009"/>
      <c r="F40" s="1060"/>
      <c r="G40" s="1011"/>
      <c r="O40" s="913">
        <v>28</v>
      </c>
      <c r="P40" s="913">
        <v>81</v>
      </c>
      <c r="Q40" s="913" t="str">
        <f>B40</f>
        <v>F01S</v>
      </c>
      <c r="R40" s="945">
        <f>IF(ISNUMBER(C40),ROUND(C40,0),0)</f>
        <v>0</v>
      </c>
      <c r="S40" s="913" t="str">
        <f>VLOOKUP(O40,$Q:$R,2,FALSE)</f>
        <v>SQ9</v>
      </c>
      <c r="T40" s="913"/>
      <c r="U40" s="913"/>
      <c r="V40" s="913"/>
      <c r="W40" s="913"/>
    </row>
    <row r="41" spans="1:23" ht="17.100000000000001" customHeight="1" x14ac:dyDescent="0.2">
      <c r="A41" s="901" t="s">
        <v>921</v>
      </c>
      <c r="B41" s="966" t="s">
        <v>732</v>
      </c>
      <c r="C41" s="944"/>
      <c r="D41" s="921"/>
      <c r="E41" s="1009"/>
      <c r="F41" s="1060"/>
      <c r="G41" s="1011"/>
      <c r="O41" s="952">
        <v>28</v>
      </c>
      <c r="P41" s="952">
        <v>81</v>
      </c>
      <c r="Q41" s="952" t="str">
        <f>B41</f>
        <v>F01P</v>
      </c>
      <c r="R41" s="953">
        <f>IF(ISNUMBER(C41),ROUND(C41,0),0)</f>
        <v>0</v>
      </c>
      <c r="S41" s="913" t="str">
        <f>VLOOKUP(O41,$Q:$R,2,FALSE)</f>
        <v>SQ9</v>
      </c>
      <c r="T41" s="913"/>
      <c r="U41" s="913"/>
      <c r="V41" s="913"/>
      <c r="W41" s="913"/>
    </row>
    <row r="42" spans="1:23" ht="17.25" customHeight="1" x14ac:dyDescent="0.2">
      <c r="A42" s="1021" t="s">
        <v>733</v>
      </c>
      <c r="B42" s="1022"/>
      <c r="C42" s="1023">
        <f>SUM(C37:C41)</f>
        <v>0</v>
      </c>
      <c r="D42" s="921"/>
      <c r="E42" s="1009"/>
      <c r="F42" s="1060"/>
      <c r="G42" s="1011"/>
      <c r="O42" s="913" t="s">
        <v>547</v>
      </c>
      <c r="P42" s="913"/>
      <c r="Q42" s="913"/>
      <c r="R42" s="945"/>
      <c r="S42" s="913"/>
      <c r="T42" s="913"/>
      <c r="U42" s="913"/>
      <c r="V42" s="913"/>
      <c r="W42" s="913"/>
    </row>
    <row r="43" spans="1:23" ht="17.25" customHeight="1" thickBot="1" x14ac:dyDescent="0.3">
      <c r="A43" s="1061" t="s">
        <v>591</v>
      </c>
      <c r="B43" s="1062"/>
      <c r="C43" s="1063">
        <f>C19+C35-C42</f>
        <v>0</v>
      </c>
      <c r="D43" s="1064"/>
      <c r="E43" s="1026"/>
      <c r="F43" s="1065"/>
      <c r="G43" s="1028"/>
      <c r="O43" s="913"/>
      <c r="P43" s="913"/>
      <c r="Q43" s="913"/>
      <c r="R43" s="945"/>
      <c r="S43" s="913"/>
      <c r="T43" s="913"/>
      <c r="U43" s="913"/>
      <c r="V43" s="913"/>
      <c r="W43" s="913"/>
    </row>
    <row r="44" spans="1:23" ht="17.100000000000001" customHeight="1" thickBot="1" x14ac:dyDescent="0.3">
      <c r="A44" s="998" t="s">
        <v>922</v>
      </c>
      <c r="B44" s="1025"/>
      <c r="C44" s="1007">
        <f>C43</f>
        <v>0</v>
      </c>
      <c r="E44" s="1000" t="s">
        <v>923</v>
      </c>
      <c r="F44" s="1025"/>
      <c r="G44" s="1007">
        <f>G16</f>
        <v>0</v>
      </c>
      <c r="P44" s="913"/>
      <c r="Q44" s="913"/>
      <c r="R44" s="913"/>
      <c r="S44" s="913"/>
      <c r="T44" s="913"/>
      <c r="U44" s="913"/>
      <c r="V44" s="913"/>
      <c r="W44" s="913"/>
    </row>
    <row r="45" spans="1:23" ht="4.95" customHeight="1" x14ac:dyDescent="0.2">
      <c r="C45" s="1066"/>
      <c r="O45" s="913"/>
      <c r="P45" s="913"/>
      <c r="Q45" s="913"/>
      <c r="R45" s="945"/>
      <c r="T45" s="913"/>
      <c r="U45" s="913"/>
      <c r="V45" s="913"/>
      <c r="W45" s="913"/>
    </row>
    <row r="46" spans="1:23" ht="11.4" x14ac:dyDescent="0.2">
      <c r="A46" s="825" t="s">
        <v>1015</v>
      </c>
    </row>
    <row r="47" spans="1:23" ht="15.45" customHeight="1" x14ac:dyDescent="0.25">
      <c r="A47" s="825" t="s">
        <v>1138</v>
      </c>
      <c r="B47" s="957"/>
      <c r="C47" s="1002"/>
      <c r="D47" s="771"/>
      <c r="E47" s="771"/>
      <c r="F47" s="771"/>
      <c r="G47" s="771"/>
      <c r="O47" s="771"/>
      <c r="P47" s="771"/>
      <c r="Q47" s="771"/>
      <c r="R47" s="771"/>
      <c r="S47" s="771"/>
    </row>
    <row r="48" spans="1:23" s="771" customFormat="1" ht="15.45" customHeight="1" x14ac:dyDescent="0.25">
      <c r="A48" s="825" t="s">
        <v>1029</v>
      </c>
      <c r="B48" s="913"/>
      <c r="C48" s="825"/>
      <c r="D48" s="825"/>
      <c r="E48" s="825"/>
      <c r="F48" s="825"/>
      <c r="G48" s="825"/>
      <c r="O48" s="825"/>
      <c r="P48" s="825"/>
      <c r="Q48" s="825"/>
      <c r="R48" s="825"/>
      <c r="S48" s="825"/>
    </row>
  </sheetData>
  <sheetProtection algorithmName="SHA-512" hashValue="EMr5vB6MD2T2jAXbWkelaCE0Ajd3puFD1xzXTQL8I86Zr208lq8Q9+03U0EKdnqOj40TTHDqXLPEXwkWL9JRsQ==" saltValue="n0kCmmFp5hThVexIR2j4Ow==" spinCount="100000" sheet="1" formatColumns="0" selectLockedCells="1"/>
  <mergeCells count="3">
    <mergeCell ref="H6:H11"/>
    <mergeCell ref="H13:H14"/>
    <mergeCell ref="H23:H26"/>
  </mergeCells>
  <dataValidations count="2">
    <dataValidation type="whole" allowBlank="1" showInputMessage="1" showErrorMessage="1" errorTitle="ERRORE NEL DATO IMMESSO" error="INSERIRE SOLO NUMERI INTERI" sqref="G9:G12 C21:C34 G14 C9:C18 C37:C41" xr:uid="{1B58B8CD-D055-4824-BEB5-9FFA4C0C4682}">
      <formula1>0</formula1>
      <formula2>999999999999</formula2>
    </dataValidation>
    <dataValidation type="whole" allowBlank="1" showInputMessage="1" showErrorMessage="1" errorTitle="ERRORE NEL DATO IMMESSO" error="INSERIRE SOLO NUMERI INTERI" sqref="C19 G15:G17 C35:C36 G37:G43 C42:C43" xr:uid="{6D8FE9D8-D68C-4254-9E17-D3DCBF0011B8}">
      <formula1>-999999999999</formula1>
      <formula2>999999999999</formula2>
    </dataValidation>
  </dataValidations>
  <printOptions horizontalCentered="1"/>
  <pageMargins left="0.39370078740157483" right="0.39370078740157483" top="0.78740157480314965" bottom="0.39370078740157483" header="0.51181102362204722" footer="0.15748031496062992"/>
  <pageSetup paperSize="9" scale="61" orientation="portrait" horizontalDpi="300" verticalDpi="4294967292"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W62"/>
  <sheetViews>
    <sheetView showGridLines="0" zoomScale="80" zoomScaleNormal="80" workbookViewId="0">
      <selection activeCell="C9" sqref="C9"/>
    </sheetView>
  </sheetViews>
  <sheetFormatPr defaultColWidth="12.7109375" defaultRowHeight="10.199999999999999" x14ac:dyDescent="0.2"/>
  <cols>
    <col min="1" max="1" width="65.7109375" style="825" customWidth="1"/>
    <col min="2" max="2" width="10.7109375" style="913" customWidth="1"/>
    <col min="3" max="3" width="20.7109375" style="825" customWidth="1"/>
    <col min="4" max="4" width="3.28515625" style="825" customWidth="1"/>
    <col min="5" max="5" width="65.7109375" style="825" customWidth="1"/>
    <col min="6" max="6" width="10.7109375" style="825" customWidth="1"/>
    <col min="7" max="7" width="20.7109375" style="825" customWidth="1"/>
    <col min="8" max="8" width="73.28515625" style="825" customWidth="1"/>
    <col min="9" max="12" width="12.7109375" style="825" customWidth="1"/>
    <col min="13" max="14" width="12.7109375" style="825"/>
    <col min="15" max="18" width="12.7109375" style="825" hidden="1" customWidth="1"/>
    <col min="19" max="19" width="5.140625" style="825" hidden="1" customWidth="1"/>
    <col min="20" max="23" width="12.7109375" style="825" hidden="1" customWidth="1"/>
    <col min="24" max="16384" width="12.7109375" style="825"/>
  </cols>
  <sheetData>
    <row r="1" spans="1:23" ht="43.5" customHeight="1" x14ac:dyDescent="0.2">
      <c r="A1" s="909" t="str">
        <f>'t1'!$A$1</f>
        <v>ENTI PUBBLICI NON ECONOMICI - anno 2023</v>
      </c>
      <c r="B1" s="910"/>
      <c r="C1" s="910"/>
      <c r="D1" s="910"/>
      <c r="E1" s="910"/>
      <c r="F1" s="910"/>
      <c r="G1" s="910"/>
      <c r="H1" s="911" t="s">
        <v>267</v>
      </c>
      <c r="Q1" s="912">
        <v>52</v>
      </c>
      <c r="R1" s="912" t="s">
        <v>646</v>
      </c>
    </row>
    <row r="2" spans="1:23" ht="15.3" customHeight="1" x14ac:dyDescent="0.2">
      <c r="N2"/>
      <c r="O2" s="826"/>
      <c r="P2" s="826"/>
      <c r="Q2" s="912">
        <v>78</v>
      </c>
      <c r="R2" s="912" t="s">
        <v>910</v>
      </c>
      <c r="S2" s="914"/>
      <c r="T2" s="826"/>
      <c r="U2" s="826"/>
      <c r="V2" s="826"/>
      <c r="W2" s="914"/>
    </row>
    <row r="3" spans="1:23" ht="44.55" customHeight="1" x14ac:dyDescent="0.2">
      <c r="A3" s="915"/>
      <c r="B3" s="916"/>
      <c r="C3" s="916"/>
      <c r="D3" s="916"/>
      <c r="E3" s="916"/>
      <c r="F3" s="916"/>
      <c r="G3" s="916"/>
      <c r="N3"/>
      <c r="O3" s="917"/>
      <c r="P3" s="917"/>
      <c r="Q3" s="826"/>
      <c r="R3" s="914"/>
      <c r="S3" s="914"/>
      <c r="T3" s="917"/>
      <c r="U3" s="917"/>
      <c r="V3" s="826"/>
      <c r="W3" s="914"/>
    </row>
    <row r="4" spans="1:23" ht="15.3" customHeight="1" thickBot="1" x14ac:dyDescent="0.25">
      <c r="N4"/>
      <c r="O4" s="826"/>
      <c r="P4" s="826"/>
      <c r="Q4" s="826"/>
      <c r="R4" s="914"/>
      <c r="S4" s="914"/>
      <c r="T4" s="826"/>
      <c r="U4" s="826"/>
      <c r="V4" s="826"/>
      <c r="W4" s="914"/>
    </row>
    <row r="5" spans="1:23" ht="25.5" customHeight="1" thickBot="1" x14ac:dyDescent="0.25">
      <c r="A5" s="918" t="s">
        <v>1012</v>
      </c>
      <c r="B5" s="919"/>
      <c r="C5" s="1067"/>
      <c r="D5" s="921"/>
      <c r="E5" s="918" t="s">
        <v>1013</v>
      </c>
      <c r="F5" s="919"/>
      <c r="G5" s="1067"/>
      <c r="H5" s="922" t="s">
        <v>647</v>
      </c>
      <c r="I5" s="1068"/>
      <c r="J5" s="1068"/>
      <c r="K5" s="1068"/>
      <c r="L5" s="1068"/>
    </row>
    <row r="6" spans="1:23" ht="18" customHeight="1" thickBot="1" x14ac:dyDescent="0.25">
      <c r="A6" s="925" t="s">
        <v>115</v>
      </c>
      <c r="B6" s="927" t="s">
        <v>116</v>
      </c>
      <c r="C6" s="930" t="s">
        <v>230</v>
      </c>
      <c r="D6" s="928"/>
      <c r="E6" s="925" t="s">
        <v>115</v>
      </c>
      <c r="F6" s="966" t="s">
        <v>116</v>
      </c>
      <c r="G6" s="930" t="s">
        <v>230</v>
      </c>
      <c r="H6" s="1561" t="str">
        <f>IF(AND(SUMIF($S:$S,"SQ9",$R:$R)=0,ISBLANK('SICI(5)'!F13),ISBLANK('SICI(5)'!F17)),"OK",IF(AND(ABS(SUMIF($S:$S,"SQ9",$R:$R))&gt;0,ISBLANK('SICI(5)'!F13),ISBLANK('SICI(5)'!F17)),"Attenzione: inserire le voci di costituzione del fondo unicamente in presenza di certificazione dello stesso (cfr. SICI GEN353 o GEN355) !",IF(AND(SUMIF($S:$S,"SQ9",$R:$R)=0,SUM('SICI(5)'!F13,'SICI(5)'!F17)&gt;0),"Attenzione: in presenza di date di certificazione del fondo (cfr. SICI GEN353 o GEN355) è necessario compilare il lato costituzione di T15 !","OK")))</f>
        <v>OK</v>
      </c>
      <c r="I6" s="1068"/>
      <c r="J6" s="1068"/>
      <c r="K6" s="1068"/>
      <c r="L6" s="1068"/>
    </row>
    <row r="7" spans="1:23" ht="17.100000000000001" customHeight="1" x14ac:dyDescent="0.3">
      <c r="A7" s="931" t="s">
        <v>758</v>
      </c>
      <c r="B7" s="932"/>
      <c r="C7" s="933"/>
      <c r="D7" s="1069"/>
      <c r="E7" s="1070" t="str">
        <f>A7</f>
        <v>Fondo risorse decentrate</v>
      </c>
      <c r="F7" s="1071"/>
      <c r="G7" s="1072"/>
      <c r="H7" s="1566"/>
      <c r="I7" s="923"/>
      <c r="O7" s="767" t="s">
        <v>649</v>
      </c>
      <c r="P7" s="935"/>
      <c r="Q7" s="936"/>
      <c r="R7" s="936"/>
      <c r="S7" s="914"/>
      <c r="T7" s="767" t="s">
        <v>650</v>
      </c>
      <c r="U7" s="935"/>
      <c r="V7" s="936"/>
      <c r="W7" s="936"/>
    </row>
    <row r="8" spans="1:23" ht="17.100000000000001" customHeight="1" x14ac:dyDescent="0.2">
      <c r="A8" s="937" t="s">
        <v>651</v>
      </c>
      <c r="B8" s="1073"/>
      <c r="C8" s="1074"/>
      <c r="D8" s="1075"/>
      <c r="E8" s="941" t="s">
        <v>864</v>
      </c>
      <c r="F8" s="1073"/>
      <c r="G8" s="1074"/>
      <c r="H8" s="1566"/>
      <c r="I8" s="923"/>
      <c r="O8" s="768" t="s">
        <v>652</v>
      </c>
      <c r="P8" s="768" t="s">
        <v>653</v>
      </c>
      <c r="Q8" s="768" t="s">
        <v>654</v>
      </c>
      <c r="R8" s="768" t="s">
        <v>655</v>
      </c>
      <c r="S8" s="914"/>
      <c r="T8" s="768" t="s">
        <v>652</v>
      </c>
      <c r="U8" s="768" t="s">
        <v>653</v>
      </c>
      <c r="V8" s="768" t="s">
        <v>654</v>
      </c>
      <c r="W8" s="768" t="s">
        <v>655</v>
      </c>
    </row>
    <row r="9" spans="1:23" ht="17.100000000000001" customHeight="1" x14ac:dyDescent="0.2">
      <c r="A9" s="901" t="s">
        <v>741</v>
      </c>
      <c r="B9" s="927" t="s">
        <v>742</v>
      </c>
      <c r="C9" s="944"/>
      <c r="D9" s="1034"/>
      <c r="E9" s="948" t="s">
        <v>1017</v>
      </c>
      <c r="F9" s="1234" t="s">
        <v>1018</v>
      </c>
      <c r="G9" s="944"/>
      <c r="H9" s="1566"/>
      <c r="I9" s="923"/>
      <c r="O9" s="913">
        <v>52</v>
      </c>
      <c r="P9" s="913">
        <v>7</v>
      </c>
      <c r="Q9" s="913" t="str">
        <f t="shared" ref="Q9:Q18" si="0">B9</f>
        <v>F05L</v>
      </c>
      <c r="R9" s="945">
        <f t="shared" ref="R9:R18" si="1">IF(ISNUMBER(C9),ROUND(C9,0),0)</f>
        <v>0</v>
      </c>
      <c r="S9" s="913" t="str">
        <f t="shared" ref="S9:S18" si="2">VLOOKUP(O9,$Q:$R,2,FALSE)</f>
        <v>SQ9</v>
      </c>
      <c r="T9" s="965">
        <v>52</v>
      </c>
      <c r="U9" s="965">
        <v>61</v>
      </c>
      <c r="V9" s="913" t="str">
        <f t="shared" ref="V9:V21" si="3">F9</f>
        <v>U20S</v>
      </c>
      <c r="W9" s="945">
        <f t="shared" ref="W9:W21" si="4">IF(ISNUMBER(G9),ROUND(G9,0),0)</f>
        <v>0</v>
      </c>
    </row>
    <row r="10" spans="1:23" ht="17.100000000000001" customHeight="1" x14ac:dyDescent="0.2">
      <c r="A10" s="901" t="s">
        <v>1019</v>
      </c>
      <c r="B10" s="927" t="s">
        <v>1020</v>
      </c>
      <c r="C10" s="944"/>
      <c r="D10" s="1034"/>
      <c r="E10" s="948" t="s">
        <v>927</v>
      </c>
      <c r="F10" s="927" t="s">
        <v>763</v>
      </c>
      <c r="G10" s="944"/>
      <c r="H10" s="1566"/>
      <c r="I10" s="923"/>
      <c r="O10" s="913">
        <v>52</v>
      </c>
      <c r="P10" s="913">
        <v>7</v>
      </c>
      <c r="Q10" s="913" t="str">
        <f t="shared" si="0"/>
        <v>F20S</v>
      </c>
      <c r="R10" s="945">
        <f t="shared" si="1"/>
        <v>0</v>
      </c>
      <c r="S10" s="913" t="str">
        <f t="shared" si="2"/>
        <v>SQ9</v>
      </c>
      <c r="T10" s="965">
        <v>52</v>
      </c>
      <c r="U10" s="965">
        <v>61</v>
      </c>
      <c r="V10" s="913" t="str">
        <f t="shared" si="3"/>
        <v>U02P</v>
      </c>
      <c r="W10" s="945">
        <f t="shared" si="4"/>
        <v>0</v>
      </c>
    </row>
    <row r="11" spans="1:23" ht="17.100000000000001" customHeight="1" thickBot="1" x14ac:dyDescent="0.25">
      <c r="A11" s="901" t="s">
        <v>835</v>
      </c>
      <c r="B11" s="927" t="s">
        <v>743</v>
      </c>
      <c r="C11" s="944"/>
      <c r="D11" s="1034"/>
      <c r="E11" s="948" t="s">
        <v>925</v>
      </c>
      <c r="F11" s="927" t="s">
        <v>760</v>
      </c>
      <c r="G11" s="944"/>
      <c r="H11" s="1567"/>
      <c r="I11" s="923"/>
      <c r="O11" s="913">
        <v>52</v>
      </c>
      <c r="P11" s="913">
        <v>7</v>
      </c>
      <c r="Q11" s="913" t="str">
        <f t="shared" si="0"/>
        <v>F05M</v>
      </c>
      <c r="R11" s="945">
        <f t="shared" si="1"/>
        <v>0</v>
      </c>
      <c r="S11" s="913" t="str">
        <f t="shared" si="2"/>
        <v>SQ9</v>
      </c>
      <c r="T11" s="965">
        <v>52</v>
      </c>
      <c r="U11" s="965">
        <v>61</v>
      </c>
      <c r="V11" s="913" t="str">
        <f t="shared" si="3"/>
        <v>U02L</v>
      </c>
      <c r="W11" s="945">
        <f t="shared" si="4"/>
        <v>0</v>
      </c>
    </row>
    <row r="12" spans="1:23" ht="17.100000000000001" customHeight="1" thickBot="1" x14ac:dyDescent="0.25">
      <c r="A12" s="901" t="s">
        <v>1145</v>
      </c>
      <c r="B12" s="927" t="s">
        <v>1021</v>
      </c>
      <c r="C12" s="944"/>
      <c r="D12" s="1034"/>
      <c r="E12" s="948" t="s">
        <v>926</v>
      </c>
      <c r="F12" s="927" t="s">
        <v>761</v>
      </c>
      <c r="G12" s="944"/>
      <c r="H12" s="950" t="s">
        <v>734</v>
      </c>
      <c r="I12" s="923"/>
      <c r="O12" s="913">
        <v>52</v>
      </c>
      <c r="P12" s="913">
        <v>7</v>
      </c>
      <c r="Q12" s="913" t="str">
        <f t="shared" si="0"/>
        <v>F20T</v>
      </c>
      <c r="R12" s="945">
        <f t="shared" si="1"/>
        <v>0</v>
      </c>
      <c r="S12" s="913" t="str">
        <f t="shared" si="2"/>
        <v>SQ9</v>
      </c>
      <c r="T12" s="965">
        <v>52</v>
      </c>
      <c r="U12" s="965">
        <v>61</v>
      </c>
      <c r="V12" s="913" t="str">
        <f t="shared" si="3"/>
        <v>U02M</v>
      </c>
      <c r="W12" s="945">
        <f t="shared" si="4"/>
        <v>0</v>
      </c>
    </row>
    <row r="13" spans="1:23" ht="17.100000000000001" customHeight="1" x14ac:dyDescent="0.2">
      <c r="A13" s="901" t="s">
        <v>833</v>
      </c>
      <c r="B13" s="927" t="s">
        <v>744</v>
      </c>
      <c r="C13" s="944"/>
      <c r="D13" s="1034"/>
      <c r="E13" s="948" t="s">
        <v>1022</v>
      </c>
      <c r="F13" s="1234" t="s">
        <v>1023</v>
      </c>
      <c r="G13" s="944"/>
      <c r="H13" s="1561" t="str">
        <f>IF(LEN(H15&amp;H16&amp;H17&amp;H18)&gt;0,"Attenzione, le seguenti voci creano incongruenza perché magg. del 10% del totale:","OK")</f>
        <v>OK</v>
      </c>
      <c r="I13" s="923"/>
      <c r="O13" s="913">
        <v>52</v>
      </c>
      <c r="P13" s="913">
        <v>7</v>
      </c>
      <c r="Q13" s="913" t="str">
        <f t="shared" si="0"/>
        <v>F05N</v>
      </c>
      <c r="R13" s="945">
        <f t="shared" si="1"/>
        <v>0</v>
      </c>
      <c r="S13" s="913" t="str">
        <f t="shared" si="2"/>
        <v>SQ9</v>
      </c>
      <c r="T13" s="965">
        <v>52</v>
      </c>
      <c r="U13" s="965">
        <v>61</v>
      </c>
      <c r="V13" s="913" t="str">
        <f t="shared" si="3"/>
        <v>U07H</v>
      </c>
      <c r="W13" s="945">
        <f t="shared" si="4"/>
        <v>0</v>
      </c>
    </row>
    <row r="14" spans="1:23" ht="17.100000000000001" customHeight="1" x14ac:dyDescent="0.2">
      <c r="A14" s="901" t="s">
        <v>834</v>
      </c>
      <c r="B14" s="927" t="s">
        <v>745</v>
      </c>
      <c r="C14" s="944"/>
      <c r="D14" s="1034"/>
      <c r="E14" s="948" t="s">
        <v>924</v>
      </c>
      <c r="F14" s="927" t="s">
        <v>762</v>
      </c>
      <c r="G14" s="944"/>
      <c r="H14" s="1564"/>
      <c r="I14" s="923"/>
      <c r="O14" s="913">
        <v>52</v>
      </c>
      <c r="P14" s="913">
        <v>7</v>
      </c>
      <c r="Q14" s="913" t="str">
        <f t="shared" si="0"/>
        <v>F05O</v>
      </c>
      <c r="R14" s="945">
        <f t="shared" si="1"/>
        <v>0</v>
      </c>
      <c r="S14" s="913" t="str">
        <f t="shared" si="2"/>
        <v>SQ9</v>
      </c>
      <c r="T14" s="965">
        <v>52</v>
      </c>
      <c r="U14" s="965">
        <v>61</v>
      </c>
      <c r="V14" s="913" t="str">
        <f t="shared" si="3"/>
        <v>U02N</v>
      </c>
      <c r="W14" s="945">
        <f t="shared" si="4"/>
        <v>0</v>
      </c>
    </row>
    <row r="15" spans="1:23" ht="17.100000000000001" customHeight="1" x14ac:dyDescent="0.25">
      <c r="A15" s="901" t="s">
        <v>746</v>
      </c>
      <c r="B15" s="1076" t="s">
        <v>747</v>
      </c>
      <c r="C15" s="944"/>
      <c r="D15" s="1034"/>
      <c r="E15" s="948" t="s">
        <v>1024</v>
      </c>
      <c r="F15" s="927" t="s">
        <v>1025</v>
      </c>
      <c r="G15" s="944"/>
      <c r="H15" s="1058" t="str">
        <f>IF(C43&lt;&gt;0,IF(R18/ABS(C$43)&gt;0.1,"Fondo risorse decentrate - Altre risorse fisse - F00O",""),"")</f>
        <v/>
      </c>
      <c r="I15" s="923"/>
      <c r="O15" s="913">
        <v>52</v>
      </c>
      <c r="P15" s="913">
        <v>7</v>
      </c>
      <c r="Q15" s="913" t="str">
        <f t="shared" si="0"/>
        <v>F70A</v>
      </c>
      <c r="R15" s="945">
        <f t="shared" si="1"/>
        <v>0</v>
      </c>
      <c r="S15" s="913" t="str">
        <f t="shared" si="2"/>
        <v>SQ9</v>
      </c>
      <c r="T15" s="965">
        <v>52</v>
      </c>
      <c r="U15" s="965">
        <v>61</v>
      </c>
      <c r="V15" s="913" t="str">
        <f t="shared" si="3"/>
        <v>U00L</v>
      </c>
      <c r="W15" s="945">
        <f t="shared" si="4"/>
        <v>0</v>
      </c>
    </row>
    <row r="16" spans="1:23" ht="17.100000000000001" customHeight="1" x14ac:dyDescent="0.25">
      <c r="A16" s="901" t="s">
        <v>912</v>
      </c>
      <c r="B16" s="927" t="s">
        <v>735</v>
      </c>
      <c r="C16" s="944"/>
      <c r="D16" s="1034"/>
      <c r="E16" s="901" t="s">
        <v>928</v>
      </c>
      <c r="F16" s="1076" t="s">
        <v>764</v>
      </c>
      <c r="G16" s="944"/>
      <c r="H16" s="1058" t="str">
        <f>IF(C43&lt;&gt;0,IF(R34/ABS(C$43)&gt;0.1,"Fondo risorse decentrate - Altre risorse variabili - F00O",""),"")</f>
        <v/>
      </c>
      <c r="I16" s="923"/>
      <c r="O16" s="913">
        <v>52</v>
      </c>
      <c r="P16" s="913">
        <v>7</v>
      </c>
      <c r="Q16" s="913" t="str">
        <f t="shared" si="0"/>
        <v>F02Z</v>
      </c>
      <c r="R16" s="945">
        <f t="shared" si="1"/>
        <v>0</v>
      </c>
      <c r="S16" s="913" t="str">
        <f t="shared" si="2"/>
        <v>SQ9</v>
      </c>
      <c r="T16" s="965">
        <v>52</v>
      </c>
      <c r="U16" s="965">
        <v>61</v>
      </c>
      <c r="V16" s="913" t="str">
        <f t="shared" si="3"/>
        <v>U02Q</v>
      </c>
      <c r="W16" s="945">
        <f t="shared" si="4"/>
        <v>0</v>
      </c>
    </row>
    <row r="17" spans="1:23" ht="17.100000000000001" customHeight="1" x14ac:dyDescent="0.25">
      <c r="A17" s="901" t="s">
        <v>1026</v>
      </c>
      <c r="B17" s="966" t="s">
        <v>866</v>
      </c>
      <c r="C17" s="944"/>
      <c r="D17" s="1034"/>
      <c r="E17" s="948" t="s">
        <v>929</v>
      </c>
      <c r="F17" s="927" t="s">
        <v>765</v>
      </c>
      <c r="G17" s="944"/>
      <c r="H17" s="1058" t="str">
        <f>IF(C43&lt;&gt;0,IF(R41/ABS(C$43)&gt;0.1,"Fondo risorse decentrate - Altre decurtazioni - F01P",""),"")</f>
        <v/>
      </c>
      <c r="I17" s="923"/>
      <c r="O17" s="913">
        <v>52</v>
      </c>
      <c r="P17" s="913">
        <v>7</v>
      </c>
      <c r="Q17" s="913" t="str">
        <f t="shared" si="0"/>
        <v>F16L</v>
      </c>
      <c r="R17" s="945">
        <f t="shared" si="1"/>
        <v>0</v>
      </c>
      <c r="S17" s="913" t="str">
        <f t="shared" si="2"/>
        <v>SQ9</v>
      </c>
      <c r="T17" s="965">
        <v>52</v>
      </c>
      <c r="U17" s="965">
        <v>61</v>
      </c>
      <c r="V17" s="913" t="str">
        <f t="shared" si="3"/>
        <v>U02R</v>
      </c>
      <c r="W17" s="945">
        <f t="shared" si="4"/>
        <v>0</v>
      </c>
    </row>
    <row r="18" spans="1:23" ht="17.100000000000001" customHeight="1" x14ac:dyDescent="0.25">
      <c r="A18" s="901" t="s">
        <v>917</v>
      </c>
      <c r="B18" s="966" t="s">
        <v>918</v>
      </c>
      <c r="C18" s="944"/>
      <c r="D18" s="1034"/>
      <c r="E18" s="948" t="s">
        <v>930</v>
      </c>
      <c r="F18" s="927" t="s">
        <v>766</v>
      </c>
      <c r="G18" s="944"/>
      <c r="H18" s="1058" t="str">
        <f>IF(G23&lt;&gt;0,IF(W21/ABS(G23)&gt;0.1,"Fondo risorse decentrate - Altre destinazioni - U998",""),"")</f>
        <v/>
      </c>
      <c r="I18" s="923"/>
      <c r="O18" s="952">
        <v>52</v>
      </c>
      <c r="P18" s="952">
        <v>7</v>
      </c>
      <c r="Q18" s="952" t="str">
        <f t="shared" si="0"/>
        <v>F00O</v>
      </c>
      <c r="R18" s="953">
        <f t="shared" si="1"/>
        <v>0</v>
      </c>
      <c r="S18" s="913" t="str">
        <f t="shared" si="2"/>
        <v>SQ9</v>
      </c>
      <c r="T18" s="965">
        <v>52</v>
      </c>
      <c r="U18" s="965">
        <v>61</v>
      </c>
      <c r="V18" s="913" t="str">
        <f t="shared" si="3"/>
        <v>U02S</v>
      </c>
      <c r="W18" s="945">
        <f t="shared" si="4"/>
        <v>0</v>
      </c>
    </row>
    <row r="19" spans="1:23" ht="17.100000000000001" customHeight="1" thickBot="1" x14ac:dyDescent="0.3">
      <c r="A19" s="1014" t="s">
        <v>345</v>
      </c>
      <c r="B19" s="1077"/>
      <c r="C19" s="1063">
        <f>SUM(C9:C18)</f>
        <v>0</v>
      </c>
      <c r="D19" s="1034"/>
      <c r="E19" s="901" t="s">
        <v>931</v>
      </c>
      <c r="F19" s="927" t="s">
        <v>767</v>
      </c>
      <c r="G19" s="944"/>
      <c r="H19" s="888"/>
      <c r="I19" s="923"/>
      <c r="O19" s="913"/>
      <c r="P19" s="913"/>
      <c r="Q19" s="913"/>
      <c r="R19" s="945"/>
      <c r="S19" s="913"/>
      <c r="T19" s="965">
        <v>52</v>
      </c>
      <c r="U19" s="965">
        <v>61</v>
      </c>
      <c r="V19" s="913" t="str">
        <f t="shared" si="3"/>
        <v>U02T</v>
      </c>
      <c r="W19" s="945">
        <f t="shared" si="4"/>
        <v>0</v>
      </c>
    </row>
    <row r="20" spans="1:23" ht="17.100000000000001" customHeight="1" thickBot="1" x14ac:dyDescent="0.3">
      <c r="A20" s="937" t="s">
        <v>346</v>
      </c>
      <c r="B20" s="938"/>
      <c r="C20" s="939"/>
      <c r="D20" s="1034"/>
      <c r="E20" s="901" t="s">
        <v>1146</v>
      </c>
      <c r="F20" s="966" t="s">
        <v>768</v>
      </c>
      <c r="G20" s="944"/>
      <c r="H20" s="950" t="s">
        <v>1014</v>
      </c>
      <c r="I20" s="923"/>
      <c r="O20" s="913"/>
      <c r="P20" s="913"/>
      <c r="Q20" s="913"/>
      <c r="R20" s="945"/>
      <c r="S20" s="913"/>
      <c r="T20" s="965">
        <v>52</v>
      </c>
      <c r="U20" s="965">
        <v>61</v>
      </c>
      <c r="V20" s="913" t="str">
        <f t="shared" si="3"/>
        <v>U22I</v>
      </c>
      <c r="W20" s="945">
        <f t="shared" si="4"/>
        <v>0</v>
      </c>
    </row>
    <row r="21" spans="1:23" ht="17.100000000000001" customHeight="1" x14ac:dyDescent="0.2">
      <c r="A21" s="1374" t="s">
        <v>748</v>
      </c>
      <c r="B21" s="927" t="s">
        <v>481</v>
      </c>
      <c r="C21" s="944"/>
      <c r="D21" s="1034"/>
      <c r="E21" s="948" t="s">
        <v>584</v>
      </c>
      <c r="F21" s="949" t="s">
        <v>488</v>
      </c>
      <c r="G21" s="944"/>
      <c r="H21" s="1561" t="str">
        <f>IF(AND(SUM($R:$R)&lt;&gt;0,SUM('SICI(5)'!$F$13,'SICI(5)'!$F$17)&gt;0),IF(SUM($R:$R)-(SUMIF($P:$P,"81",$R:$R)*2)-SUM($W:$W)&lt;0,"Attenzione, le destinazioni risultano superiori alle relative risorse e generano pertanto squadratura 8. ","OK"),"OK")</f>
        <v>OK</v>
      </c>
      <c r="I21" s="923"/>
      <c r="O21" s="913">
        <v>52</v>
      </c>
      <c r="P21" s="913">
        <v>9</v>
      </c>
      <c r="Q21" s="913" t="str">
        <f>B21</f>
        <v>F50H</v>
      </c>
      <c r="R21" s="945">
        <f>IF(ISNUMBER(C21),ROUND(C21,0),0)</f>
        <v>0</v>
      </c>
      <c r="S21" s="913" t="str">
        <f>VLOOKUP(O21,$Q:$R,2,FALSE)</f>
        <v>SQ9</v>
      </c>
      <c r="T21" s="979">
        <v>52</v>
      </c>
      <c r="U21" s="979">
        <v>61</v>
      </c>
      <c r="V21" s="952" t="str">
        <f t="shared" si="3"/>
        <v>U998</v>
      </c>
      <c r="W21" s="953">
        <f t="shared" si="4"/>
        <v>0</v>
      </c>
    </row>
    <row r="22" spans="1:23" ht="17.100000000000001" customHeight="1" thickBot="1" x14ac:dyDescent="0.25">
      <c r="A22" s="1375" t="s">
        <v>749</v>
      </c>
      <c r="B22" s="927" t="s">
        <v>482</v>
      </c>
      <c r="C22" s="944"/>
      <c r="D22" s="1034"/>
      <c r="E22" s="954" t="s">
        <v>865</v>
      </c>
      <c r="F22" s="1078"/>
      <c r="G22" s="1079">
        <f>SUM(G9:G21)</f>
        <v>0</v>
      </c>
      <c r="H22" s="1564"/>
      <c r="I22" s="923"/>
      <c r="O22" s="913">
        <v>52</v>
      </c>
      <c r="P22" s="913">
        <v>9</v>
      </c>
      <c r="Q22" s="913" t="str">
        <f t="shared" ref="Q22:Q34" si="5">B22</f>
        <v>F51H</v>
      </c>
      <c r="R22" s="945">
        <f t="shared" ref="R22:R34" si="6">IF(ISNUMBER(C22),ROUND(C22,0),0)</f>
        <v>0</v>
      </c>
      <c r="S22" s="913" t="str">
        <f t="shared" ref="S22:S34" si="7">VLOOKUP(O22,$Q:$R,2,FALSE)</f>
        <v>SQ9</v>
      </c>
      <c r="U22" s="913"/>
      <c r="V22" s="913"/>
      <c r="W22" s="913"/>
    </row>
    <row r="23" spans="1:23" ht="17.100000000000001" customHeight="1" thickBot="1" x14ac:dyDescent="0.3">
      <c r="A23" s="901" t="s">
        <v>750</v>
      </c>
      <c r="B23" s="927" t="s">
        <v>583</v>
      </c>
      <c r="C23" s="944"/>
      <c r="D23" s="1034"/>
      <c r="E23" s="1080" t="str">
        <f>A43</f>
        <v>Totale Fondo risorse decentrate</v>
      </c>
      <c r="F23" s="1056"/>
      <c r="G23" s="1057">
        <f>G22</f>
        <v>0</v>
      </c>
      <c r="H23" s="1564"/>
      <c r="I23" s="923"/>
      <c r="O23" s="913">
        <v>52</v>
      </c>
      <c r="P23" s="913">
        <v>9</v>
      </c>
      <c r="Q23" s="913" t="str">
        <f t="shared" si="5"/>
        <v>F96H</v>
      </c>
      <c r="R23" s="945">
        <f t="shared" si="6"/>
        <v>0</v>
      </c>
      <c r="S23" s="913" t="str">
        <f t="shared" si="7"/>
        <v>SQ9</v>
      </c>
      <c r="T23" s="913"/>
      <c r="U23" s="913"/>
      <c r="V23" s="913"/>
      <c r="W23" s="913"/>
    </row>
    <row r="24" spans="1:23" ht="17.100000000000001" customHeight="1" thickBot="1" x14ac:dyDescent="0.3">
      <c r="A24" s="901" t="s">
        <v>919</v>
      </c>
      <c r="B24" s="1076" t="s">
        <v>920</v>
      </c>
      <c r="C24" s="944"/>
      <c r="D24" s="1034"/>
      <c r="E24" s="1081"/>
      <c r="F24" s="1082"/>
      <c r="G24" s="1083"/>
      <c r="H24" s="1565"/>
      <c r="I24" s="923"/>
      <c r="O24" s="913">
        <v>52</v>
      </c>
      <c r="P24" s="913">
        <v>9</v>
      </c>
      <c r="Q24" s="913" t="str">
        <f t="shared" si="5"/>
        <v>F19S</v>
      </c>
      <c r="R24" s="945">
        <f t="shared" si="6"/>
        <v>0</v>
      </c>
      <c r="S24" s="913" t="str">
        <f t="shared" si="7"/>
        <v>SQ9</v>
      </c>
    </row>
    <row r="25" spans="1:23" ht="17.100000000000001" customHeight="1" x14ac:dyDescent="0.25">
      <c r="A25" s="901" t="s">
        <v>1194</v>
      </c>
      <c r="B25" s="927" t="s">
        <v>1147</v>
      </c>
      <c r="C25" s="944"/>
      <c r="D25" s="1034"/>
      <c r="E25" s="1081"/>
      <c r="F25" s="1082"/>
      <c r="G25" s="1083"/>
      <c r="H25" s="1373"/>
      <c r="I25" s="923"/>
      <c r="O25" s="913">
        <v>52</v>
      </c>
      <c r="P25" s="913">
        <v>9</v>
      </c>
      <c r="Q25" s="913" t="str">
        <f t="shared" si="5"/>
        <v>F24O</v>
      </c>
      <c r="R25" s="945">
        <f t="shared" si="6"/>
        <v>0</v>
      </c>
      <c r="S25" s="913" t="str">
        <f t="shared" si="7"/>
        <v>SQ9</v>
      </c>
    </row>
    <row r="26" spans="1:23" ht="17.100000000000001" customHeight="1" x14ac:dyDescent="0.25">
      <c r="A26" s="1394" t="s">
        <v>1195</v>
      </c>
      <c r="B26" s="966" t="s">
        <v>1148</v>
      </c>
      <c r="C26" s="944"/>
      <c r="D26" s="921"/>
      <c r="E26" s="1081"/>
      <c r="F26" s="1082"/>
      <c r="G26" s="1083"/>
      <c r="H26" s="1376" t="str">
        <f>IF(SUMIFS($R:$R,$P:$P,"&lt;&gt;81",$O:$O,$Q2)-SUMIFS($R:$R,$P:$P,"81",$O:$O,$Q2)-SUMIF($T:$T,$Q$2,$W:$W)&lt;0,$A$44,"")</f>
        <v/>
      </c>
      <c r="I26" s="923"/>
      <c r="O26" s="913">
        <v>52</v>
      </c>
      <c r="P26" s="913">
        <v>9</v>
      </c>
      <c r="Q26" s="913" t="str">
        <f t="shared" si="5"/>
        <v>F24P</v>
      </c>
      <c r="R26" s="945">
        <f t="shared" si="6"/>
        <v>0</v>
      </c>
      <c r="S26" s="913" t="str">
        <f t="shared" si="7"/>
        <v>SQ9</v>
      </c>
    </row>
    <row r="27" spans="1:23" ht="17.100000000000001" customHeight="1" x14ac:dyDescent="0.25">
      <c r="A27" s="901" t="s">
        <v>1149</v>
      </c>
      <c r="B27" s="966" t="s">
        <v>1150</v>
      </c>
      <c r="C27" s="944"/>
      <c r="D27" s="921"/>
      <c r="E27" s="1081"/>
      <c r="F27" s="1082"/>
      <c r="G27" s="1083"/>
      <c r="H27" s="1084"/>
      <c r="I27" s="923"/>
      <c r="O27" s="913">
        <v>52</v>
      </c>
      <c r="P27" s="913">
        <v>9</v>
      </c>
      <c r="Q27" s="913" t="str">
        <f t="shared" si="5"/>
        <v>F26U</v>
      </c>
      <c r="R27" s="945">
        <f t="shared" si="6"/>
        <v>0</v>
      </c>
      <c r="S27" s="913" t="str">
        <f t="shared" si="7"/>
        <v>SQ9</v>
      </c>
      <c r="T27" s="913"/>
      <c r="U27" s="913"/>
      <c r="V27" s="913"/>
      <c r="W27" s="913"/>
    </row>
    <row r="28" spans="1:23" ht="17.100000000000001" customHeight="1" x14ac:dyDescent="0.25">
      <c r="A28" s="901" t="s">
        <v>1151</v>
      </c>
      <c r="B28" s="966" t="s">
        <v>751</v>
      </c>
      <c r="C28" s="944"/>
      <c r="D28" s="921"/>
      <c r="E28" s="1081"/>
      <c r="F28" s="1082"/>
      <c r="G28" s="1083"/>
      <c r="H28" s="1085"/>
      <c r="I28" s="923"/>
      <c r="O28" s="913">
        <v>52</v>
      </c>
      <c r="P28" s="913">
        <v>9</v>
      </c>
      <c r="Q28" s="913" t="str">
        <f t="shared" si="5"/>
        <v>F05R</v>
      </c>
      <c r="R28" s="945">
        <f t="shared" si="6"/>
        <v>0</v>
      </c>
      <c r="S28" s="913" t="str">
        <f t="shared" si="7"/>
        <v>SQ9</v>
      </c>
      <c r="T28" s="913"/>
      <c r="U28" s="913"/>
      <c r="V28" s="913"/>
      <c r="W28" s="913"/>
    </row>
    <row r="29" spans="1:23" ht="17.100000000000001" customHeight="1" x14ac:dyDescent="0.25">
      <c r="A29" s="901" t="s">
        <v>836</v>
      </c>
      <c r="B29" s="966" t="s">
        <v>752</v>
      </c>
      <c r="C29" s="944"/>
      <c r="D29" s="1034"/>
      <c r="E29" s="1081"/>
      <c r="F29" s="1082"/>
      <c r="G29" s="1083"/>
      <c r="H29" s="846"/>
      <c r="I29" s="923"/>
      <c r="O29" s="913">
        <v>52</v>
      </c>
      <c r="P29" s="913">
        <v>9</v>
      </c>
      <c r="Q29" s="913" t="str">
        <f t="shared" si="5"/>
        <v>F05S</v>
      </c>
      <c r="R29" s="945">
        <f t="shared" si="6"/>
        <v>0</v>
      </c>
      <c r="S29" s="913" t="str">
        <f t="shared" si="7"/>
        <v>SQ9</v>
      </c>
    </row>
    <row r="30" spans="1:23" ht="17.100000000000001" customHeight="1" x14ac:dyDescent="0.25">
      <c r="A30" s="901" t="s">
        <v>1152</v>
      </c>
      <c r="B30" s="966" t="s">
        <v>1027</v>
      </c>
      <c r="C30" s="944"/>
      <c r="D30" s="1034"/>
      <c r="E30" s="1081"/>
      <c r="F30" s="1082"/>
      <c r="G30" s="1083"/>
      <c r="H30" s="846"/>
      <c r="I30" s="923"/>
      <c r="O30" s="913">
        <v>52</v>
      </c>
      <c r="P30" s="913">
        <v>9</v>
      </c>
      <c r="Q30" s="913" t="str">
        <f t="shared" si="5"/>
        <v>F20U</v>
      </c>
      <c r="R30" s="945">
        <f t="shared" si="6"/>
        <v>0</v>
      </c>
      <c r="S30" s="913" t="str">
        <f t="shared" si="7"/>
        <v>SQ9</v>
      </c>
    </row>
    <row r="31" spans="1:23" ht="17.100000000000001" customHeight="1" x14ac:dyDescent="0.25">
      <c r="A31" s="901" t="s">
        <v>1135</v>
      </c>
      <c r="B31" s="1371" t="s">
        <v>1136</v>
      </c>
      <c r="C31" s="944"/>
      <c r="D31" s="1034"/>
      <c r="E31" s="1081"/>
      <c r="F31" s="1082"/>
      <c r="G31" s="1083"/>
      <c r="H31" s="846"/>
      <c r="I31" s="1086"/>
      <c r="O31" s="913">
        <v>52</v>
      </c>
      <c r="P31" s="913">
        <v>9</v>
      </c>
      <c r="Q31" s="913" t="str">
        <f t="shared" si="5"/>
        <v>F24T</v>
      </c>
      <c r="R31" s="945">
        <f t="shared" si="6"/>
        <v>0</v>
      </c>
      <c r="S31" s="913" t="str">
        <f t="shared" si="7"/>
        <v>SQ9</v>
      </c>
      <c r="T31" s="913"/>
      <c r="U31" s="913"/>
      <c r="V31" s="913"/>
      <c r="W31" s="913"/>
    </row>
    <row r="32" spans="1:23" ht="17.100000000000001" customHeight="1" x14ac:dyDescent="0.25">
      <c r="A32" s="901" t="s">
        <v>837</v>
      </c>
      <c r="B32" s="966" t="s">
        <v>753</v>
      </c>
      <c r="C32" s="944"/>
      <c r="D32" s="1034"/>
      <c r="E32" s="1081"/>
      <c r="F32" s="1082"/>
      <c r="G32" s="1083"/>
      <c r="H32" s="846"/>
      <c r="I32" s="1086"/>
      <c r="O32" s="913">
        <v>52</v>
      </c>
      <c r="P32" s="913">
        <v>9</v>
      </c>
      <c r="Q32" s="913" t="str">
        <f t="shared" si="5"/>
        <v>F05T</v>
      </c>
      <c r="R32" s="945">
        <f t="shared" si="6"/>
        <v>0</v>
      </c>
      <c r="S32" s="913" t="str">
        <f t="shared" si="7"/>
        <v>SQ9</v>
      </c>
      <c r="T32" s="913"/>
      <c r="U32" s="913"/>
      <c r="V32" s="913"/>
      <c r="W32" s="913"/>
    </row>
    <row r="33" spans="1:23" ht="17.100000000000001" customHeight="1" x14ac:dyDescent="0.25">
      <c r="A33" s="901" t="s">
        <v>1137</v>
      </c>
      <c r="B33" s="947" t="s">
        <v>486</v>
      </c>
      <c r="C33" s="944"/>
      <c r="D33" s="1034"/>
      <c r="E33" s="1081"/>
      <c r="F33" s="1082"/>
      <c r="G33" s="1083"/>
      <c r="H33" s="846"/>
      <c r="I33" s="1086"/>
      <c r="O33" s="913">
        <v>52</v>
      </c>
      <c r="P33" s="913">
        <v>9</v>
      </c>
      <c r="Q33" s="913" t="str">
        <f t="shared" si="5"/>
        <v>F999</v>
      </c>
      <c r="R33" s="945">
        <f t="shared" si="6"/>
        <v>0</v>
      </c>
      <c r="S33" s="913" t="str">
        <f t="shared" si="7"/>
        <v>SQ9</v>
      </c>
      <c r="T33" s="913"/>
      <c r="U33" s="913"/>
      <c r="V33" s="913"/>
      <c r="W33" s="913"/>
    </row>
    <row r="34" spans="1:23" ht="17.100000000000001" customHeight="1" x14ac:dyDescent="0.25">
      <c r="A34" s="901" t="s">
        <v>917</v>
      </c>
      <c r="B34" s="966" t="s">
        <v>918</v>
      </c>
      <c r="C34" s="944"/>
      <c r="D34" s="1034"/>
      <c r="E34" s="1081"/>
      <c r="F34" s="1082"/>
      <c r="G34" s="1083"/>
      <c r="H34" s="846"/>
      <c r="I34" s="1086"/>
      <c r="O34" s="952">
        <v>52</v>
      </c>
      <c r="P34" s="952">
        <v>9</v>
      </c>
      <c r="Q34" s="952" t="str">
        <f t="shared" si="5"/>
        <v>F00O</v>
      </c>
      <c r="R34" s="953">
        <f t="shared" si="6"/>
        <v>0</v>
      </c>
      <c r="S34" s="913" t="str">
        <f t="shared" si="7"/>
        <v>SQ9</v>
      </c>
      <c r="T34" s="913"/>
      <c r="U34" s="913"/>
      <c r="V34" s="913"/>
      <c r="W34" s="913"/>
    </row>
    <row r="35" spans="1:23" ht="17.100000000000001" customHeight="1" thickBot="1" x14ac:dyDescent="0.3">
      <c r="A35" s="1014" t="s">
        <v>347</v>
      </c>
      <c r="B35" s="1077"/>
      <c r="C35" s="1063">
        <f>SUM(C21:C34)</f>
        <v>0</v>
      </c>
      <c r="D35" s="1034"/>
      <c r="E35" s="1081"/>
      <c r="F35" s="1082"/>
      <c r="G35" s="1083"/>
      <c r="I35" s="1086"/>
      <c r="O35" s="913"/>
      <c r="P35" s="913"/>
      <c r="Q35" s="913"/>
      <c r="R35" s="945"/>
      <c r="S35" s="913"/>
      <c r="T35" s="913"/>
      <c r="U35" s="913"/>
      <c r="V35" s="913"/>
      <c r="W35" s="913"/>
    </row>
    <row r="36" spans="1:23" ht="17.100000000000001" customHeight="1" x14ac:dyDescent="0.25">
      <c r="A36" s="937" t="s">
        <v>729</v>
      </c>
      <c r="B36" s="938"/>
      <c r="C36" s="939"/>
      <c r="D36" s="1034"/>
      <c r="E36" s="1081"/>
      <c r="F36" s="1082"/>
      <c r="G36" s="1083"/>
      <c r="I36" s="1086"/>
      <c r="O36" s="913"/>
      <c r="P36" s="913"/>
      <c r="Q36" s="913"/>
      <c r="R36" s="945"/>
      <c r="S36" s="913"/>
      <c r="T36" s="913"/>
      <c r="U36" s="913"/>
      <c r="V36" s="913"/>
      <c r="W36" s="913"/>
    </row>
    <row r="37" spans="1:23" ht="17.100000000000001" customHeight="1" x14ac:dyDescent="0.25">
      <c r="A37" s="901" t="s">
        <v>754</v>
      </c>
      <c r="B37" s="927" t="s">
        <v>730</v>
      </c>
      <c r="C37" s="944"/>
      <c r="D37" s="1034"/>
      <c r="E37" s="1081"/>
      <c r="F37" s="1082"/>
      <c r="G37" s="1083"/>
      <c r="I37" s="1086"/>
      <c r="O37" s="913">
        <v>52</v>
      </c>
      <c r="P37" s="913">
        <v>81</v>
      </c>
      <c r="Q37" s="913" t="str">
        <f>B37</f>
        <v>F02P</v>
      </c>
      <c r="R37" s="945">
        <f>IF(ISNUMBER(C37),ROUND(C37,0),0)</f>
        <v>0</v>
      </c>
      <c r="S37" s="913" t="str">
        <f>VLOOKUP(O37,$Q:$R,2,FALSE)</f>
        <v>SQ9</v>
      </c>
      <c r="T37" s="913"/>
      <c r="U37" s="913"/>
      <c r="V37" s="913"/>
      <c r="W37" s="913"/>
    </row>
    <row r="38" spans="1:23" ht="17.100000000000001" customHeight="1" x14ac:dyDescent="0.25">
      <c r="A38" s="901" t="s">
        <v>755</v>
      </c>
      <c r="B38" s="927" t="s">
        <v>615</v>
      </c>
      <c r="C38" s="944"/>
      <c r="D38" s="1034"/>
      <c r="E38" s="1081"/>
      <c r="F38" s="1082"/>
      <c r="G38" s="1083"/>
      <c r="I38" s="1086"/>
      <c r="O38" s="913">
        <v>52</v>
      </c>
      <c r="P38" s="913">
        <v>81</v>
      </c>
      <c r="Q38" s="913" t="str">
        <f>B38</f>
        <v>F27I</v>
      </c>
      <c r="R38" s="945">
        <f>IF(ISNUMBER(C38),ROUND(C38,0),0)</f>
        <v>0</v>
      </c>
      <c r="S38" s="913" t="str">
        <f>VLOOKUP(O38,$Q:$R,2,FALSE)</f>
        <v>SQ9</v>
      </c>
      <c r="T38" s="913"/>
      <c r="U38" s="913"/>
      <c r="V38" s="913"/>
      <c r="W38" s="913"/>
    </row>
    <row r="39" spans="1:23" ht="17.100000000000001" customHeight="1" x14ac:dyDescent="0.25">
      <c r="A39" s="901" t="s">
        <v>800</v>
      </c>
      <c r="B39" s="927" t="s">
        <v>731</v>
      </c>
      <c r="C39" s="944"/>
      <c r="D39" s="1034"/>
      <c r="E39" s="1081"/>
      <c r="F39" s="1082"/>
      <c r="G39" s="1083"/>
      <c r="I39" s="1086"/>
      <c r="O39" s="913">
        <v>52</v>
      </c>
      <c r="P39" s="913">
        <v>81</v>
      </c>
      <c r="Q39" s="913" t="str">
        <f>B39</f>
        <v>F00P</v>
      </c>
      <c r="R39" s="945">
        <f>IF(ISNUMBER(C39),ROUND(C39,0),0)</f>
        <v>0</v>
      </c>
      <c r="S39" s="913" t="str">
        <f>VLOOKUP(O39,$Q:$R,2,FALSE)</f>
        <v>SQ9</v>
      </c>
      <c r="T39" s="913"/>
      <c r="U39" s="913"/>
      <c r="V39" s="913"/>
      <c r="W39" s="913"/>
    </row>
    <row r="40" spans="1:23" ht="17.100000000000001" customHeight="1" x14ac:dyDescent="0.25">
      <c r="A40" s="901" t="s">
        <v>756</v>
      </c>
      <c r="B40" s="989" t="s">
        <v>757</v>
      </c>
      <c r="C40" s="944"/>
      <c r="D40" s="1034"/>
      <c r="E40" s="1081"/>
      <c r="F40" s="1082"/>
      <c r="G40" s="1083"/>
      <c r="I40" s="1086"/>
      <c r="O40" s="913">
        <v>52</v>
      </c>
      <c r="P40" s="913">
        <v>81</v>
      </c>
      <c r="Q40" s="913" t="str">
        <f>B40</f>
        <v>F01S</v>
      </c>
      <c r="R40" s="945">
        <f>IF(ISNUMBER(C40),ROUND(C40,0),0)</f>
        <v>0</v>
      </c>
      <c r="S40" s="913" t="str">
        <f>VLOOKUP(O40,$Q:$R,2,FALSE)</f>
        <v>SQ9</v>
      </c>
      <c r="T40" s="913"/>
      <c r="U40" s="913"/>
      <c r="V40" s="913"/>
      <c r="W40" s="913"/>
    </row>
    <row r="41" spans="1:23" ht="17.100000000000001" customHeight="1" x14ac:dyDescent="0.25">
      <c r="A41" s="901" t="s">
        <v>921</v>
      </c>
      <c r="B41" s="966" t="s">
        <v>732</v>
      </c>
      <c r="C41" s="944"/>
      <c r="D41" s="1034"/>
      <c r="E41" s="1081"/>
      <c r="F41" s="1082"/>
      <c r="G41" s="1083"/>
      <c r="I41" s="1086"/>
      <c r="O41" s="952">
        <v>52</v>
      </c>
      <c r="P41" s="952">
        <v>81</v>
      </c>
      <c r="Q41" s="952" t="str">
        <f>B41</f>
        <v>F01P</v>
      </c>
      <c r="R41" s="953">
        <f>IF(ISNUMBER(C41),ROUND(C41,0),0)</f>
        <v>0</v>
      </c>
      <c r="S41" s="913" t="str">
        <f>VLOOKUP(O41,$Q:$R,2,FALSE)</f>
        <v>SQ9</v>
      </c>
      <c r="T41" s="913"/>
      <c r="U41" s="913"/>
      <c r="V41" s="913"/>
      <c r="W41" s="913"/>
    </row>
    <row r="42" spans="1:23" ht="17.100000000000001" customHeight="1" thickBot="1" x14ac:dyDescent="0.3">
      <c r="A42" s="1014" t="s">
        <v>733</v>
      </c>
      <c r="B42" s="1077"/>
      <c r="C42" s="1063">
        <f>SUM(C37:C41)</f>
        <v>0</v>
      </c>
      <c r="D42" s="1034"/>
      <c r="E42" s="1081"/>
      <c r="F42" s="1082"/>
      <c r="G42" s="1083"/>
      <c r="P42" s="913"/>
      <c r="Q42" s="913"/>
      <c r="R42" s="945"/>
      <c r="S42" s="913"/>
      <c r="T42" s="913"/>
      <c r="U42" s="913"/>
      <c r="V42" s="913"/>
      <c r="W42" s="913"/>
    </row>
    <row r="43" spans="1:23" ht="17.100000000000001" customHeight="1" thickBot="1" x14ac:dyDescent="0.3">
      <c r="A43" s="1061" t="s">
        <v>759</v>
      </c>
      <c r="B43" s="1087"/>
      <c r="C43" s="1088">
        <f>C35+C19-C42</f>
        <v>0</v>
      </c>
      <c r="D43" s="1034"/>
      <c r="E43" s="1081"/>
      <c r="F43" s="1082"/>
      <c r="G43" s="1083"/>
      <c r="P43" s="913"/>
      <c r="Q43" s="913"/>
      <c r="R43" s="945" t="str">
        <f>IF(ISNUMBER(C39),ROUND(C39,0),"")</f>
        <v/>
      </c>
      <c r="S43" s="913"/>
      <c r="T43" s="913"/>
      <c r="U43" s="913"/>
      <c r="V43" s="913"/>
      <c r="W43" s="913"/>
    </row>
    <row r="44" spans="1:23" ht="17.100000000000001" customHeight="1" x14ac:dyDescent="0.3">
      <c r="A44" s="1089" t="s">
        <v>867</v>
      </c>
      <c r="B44" s="1090"/>
      <c r="C44" s="1091"/>
      <c r="D44" s="1034"/>
      <c r="E44" s="1092" t="s">
        <v>867</v>
      </c>
      <c r="F44" s="1071"/>
      <c r="G44" s="1093"/>
      <c r="O44" s="913"/>
      <c r="P44" s="913"/>
      <c r="Q44" s="913"/>
      <c r="R44" s="945"/>
      <c r="S44" s="913"/>
      <c r="T44" s="913"/>
      <c r="U44" s="913"/>
      <c r="V44" s="913"/>
      <c r="W44" s="913"/>
    </row>
    <row r="45" spans="1:23" ht="17.100000000000001" customHeight="1" x14ac:dyDescent="0.25">
      <c r="A45" s="1094" t="s">
        <v>870</v>
      </c>
      <c r="B45" s="1090"/>
      <c r="C45" s="1091"/>
      <c r="D45" s="1095"/>
      <c r="E45" s="941" t="s">
        <v>864</v>
      </c>
      <c r="F45" s="1096"/>
      <c r="G45" s="1097"/>
      <c r="O45" s="913"/>
      <c r="P45" s="913"/>
      <c r="Q45" s="913"/>
      <c r="R45" s="945" t="str">
        <f>IF(ISNUMBER(C41),ROUND(C41,0),"")</f>
        <v/>
      </c>
      <c r="S45" s="913"/>
    </row>
    <row r="46" spans="1:23" ht="17.100000000000001" customHeight="1" x14ac:dyDescent="0.25">
      <c r="A46" s="901" t="s">
        <v>871</v>
      </c>
      <c r="B46" s="927" t="s">
        <v>872</v>
      </c>
      <c r="C46" s="944"/>
      <c r="D46" s="1095"/>
      <c r="E46" s="948" t="s">
        <v>976</v>
      </c>
      <c r="F46" s="1076" t="s">
        <v>868</v>
      </c>
      <c r="G46" s="944"/>
      <c r="O46" s="913">
        <v>78</v>
      </c>
      <c r="P46" s="913">
        <v>2</v>
      </c>
      <c r="Q46" s="913" t="str">
        <f>B46</f>
        <v>F16K</v>
      </c>
      <c r="R46" s="945">
        <f>IF(ISNUMBER(C46),ROUND(C46,0),0)</f>
        <v>0</v>
      </c>
      <c r="S46" s="913" t="str">
        <f>VLOOKUP(O46,$Q:$R,2,FALSE)</f>
        <v>NO</v>
      </c>
      <c r="T46" s="913">
        <v>78</v>
      </c>
      <c r="U46" s="913">
        <v>61</v>
      </c>
      <c r="V46" s="913" t="str">
        <f>F46</f>
        <v>U06B</v>
      </c>
      <c r="W46" s="945">
        <f>IF(ISNUMBER(G46),ROUND(G46,0),0)</f>
        <v>0</v>
      </c>
    </row>
    <row r="47" spans="1:23" ht="17.100000000000001" customHeight="1" thickBot="1" x14ac:dyDescent="0.3">
      <c r="A47" s="1014" t="s">
        <v>873</v>
      </c>
      <c r="B47" s="1077"/>
      <c r="C47" s="1063">
        <f>SUM(C46:C46)</f>
        <v>0</v>
      </c>
      <c r="D47" s="1095"/>
      <c r="E47" s="954" t="s">
        <v>865</v>
      </c>
      <c r="F47" s="1098"/>
      <c r="G47" s="1004">
        <f>SUM(G46:G46)</f>
        <v>0</v>
      </c>
      <c r="P47" s="913"/>
      <c r="Q47" s="913"/>
      <c r="R47" s="945"/>
      <c r="S47" s="913"/>
      <c r="T47" s="913" t="s">
        <v>547</v>
      </c>
      <c r="U47" s="913"/>
      <c r="V47" s="913"/>
      <c r="W47" s="913"/>
    </row>
    <row r="48" spans="1:23" ht="17.100000000000001" customHeight="1" thickBot="1" x14ac:dyDescent="0.3">
      <c r="A48" s="1099" t="s">
        <v>729</v>
      </c>
      <c r="B48" s="1100"/>
      <c r="C48" s="1101"/>
      <c r="D48" s="1034"/>
      <c r="E48" s="1029" t="s">
        <v>869</v>
      </c>
      <c r="F48" s="1102"/>
      <c r="G48" s="1103">
        <f>G47</f>
        <v>0</v>
      </c>
      <c r="O48" s="913"/>
      <c r="P48" s="913"/>
      <c r="Q48" s="913"/>
      <c r="R48" s="945"/>
      <c r="S48" s="913"/>
    </row>
    <row r="49" spans="1:19" ht="17.25" customHeight="1" x14ac:dyDescent="0.25">
      <c r="A49" s="901" t="s">
        <v>1153</v>
      </c>
      <c r="B49" s="966" t="s">
        <v>1028</v>
      </c>
      <c r="C49" s="944"/>
      <c r="D49" s="1034"/>
      <c r="E49" s="1081"/>
      <c r="F49" s="1082"/>
      <c r="G49" s="1083"/>
      <c r="O49" s="913">
        <v>78</v>
      </c>
      <c r="P49" s="913">
        <v>81</v>
      </c>
      <c r="Q49" s="913" t="str">
        <f>B49</f>
        <v>F20Z</v>
      </c>
      <c r="R49" s="945">
        <f>IF(ISNUMBER(C49),ROUND(C49,0),0)</f>
        <v>0</v>
      </c>
      <c r="S49" s="913" t="str">
        <f>VLOOKUP(O49,$Q:$R,2,FALSE)</f>
        <v>NO</v>
      </c>
    </row>
    <row r="50" spans="1:19" ht="17.25" customHeight="1" thickBot="1" x14ac:dyDescent="0.3">
      <c r="A50" s="1021" t="s">
        <v>733</v>
      </c>
      <c r="B50" s="1104"/>
      <c r="C50" s="1105">
        <f>SUM(C49:C49)</f>
        <v>0</v>
      </c>
      <c r="D50" s="1034"/>
      <c r="E50" s="1081"/>
      <c r="F50" s="1082"/>
      <c r="G50" s="1083"/>
      <c r="O50" s="913" t="s">
        <v>547</v>
      </c>
    </row>
    <row r="51" spans="1:19" ht="17.25" customHeight="1" thickBot="1" x14ac:dyDescent="0.3">
      <c r="A51" s="1029" t="s">
        <v>869</v>
      </c>
      <c r="B51" s="1047"/>
      <c r="C51" s="1048">
        <f>C47-C50</f>
        <v>0</v>
      </c>
      <c r="D51" s="1095"/>
      <c r="E51" s="1081"/>
      <c r="F51" s="1082"/>
      <c r="G51" s="1083"/>
    </row>
    <row r="52" spans="1:19" ht="17.25" customHeight="1" thickBot="1" x14ac:dyDescent="0.3">
      <c r="A52" s="998" t="s">
        <v>922</v>
      </c>
      <c r="B52" s="1025"/>
      <c r="C52" s="1052">
        <f>C43+C51</f>
        <v>0</v>
      </c>
      <c r="D52" s="1049"/>
      <c r="E52" s="1000" t="s">
        <v>923</v>
      </c>
      <c r="F52" s="1106"/>
      <c r="G52" s="1007">
        <f>G23+G48</f>
        <v>0</v>
      </c>
    </row>
    <row r="53" spans="1:19" ht="4.95" customHeight="1" x14ac:dyDescent="0.25">
      <c r="D53" s="1045"/>
    </row>
    <row r="54" spans="1:19" ht="12.75" customHeight="1" x14ac:dyDescent="0.2">
      <c r="A54" s="825" t="s">
        <v>1015</v>
      </c>
    </row>
    <row r="55" spans="1:19" ht="12.6" customHeight="1" x14ac:dyDescent="0.2">
      <c r="A55" s="825" t="s">
        <v>1154</v>
      </c>
    </row>
    <row r="56" spans="1:19" ht="12.6" customHeight="1" x14ac:dyDescent="0.2">
      <c r="A56" s="825" t="s">
        <v>1155</v>
      </c>
    </row>
    <row r="57" spans="1:19" ht="10.5" customHeight="1" x14ac:dyDescent="0.2">
      <c r="A57" s="825" t="s">
        <v>1156</v>
      </c>
    </row>
    <row r="58" spans="1:19" ht="12.6" customHeight="1" x14ac:dyDescent="0.2">
      <c r="A58" s="825" t="s">
        <v>1157</v>
      </c>
    </row>
    <row r="59" spans="1:19" ht="12.6" customHeight="1" x14ac:dyDescent="0.2">
      <c r="A59" s="825" t="s">
        <v>1158</v>
      </c>
    </row>
    <row r="60" spans="1:19" ht="12.6" customHeight="1" x14ac:dyDescent="0.2">
      <c r="A60" s="825" t="s">
        <v>1159</v>
      </c>
    </row>
    <row r="61" spans="1:19" ht="12.6" customHeight="1" x14ac:dyDescent="0.2">
      <c r="A61" s="825" t="s">
        <v>1160</v>
      </c>
    </row>
    <row r="62" spans="1:19" ht="12.6" customHeight="1" x14ac:dyDescent="0.2"/>
  </sheetData>
  <sheetProtection algorithmName="SHA-512" hashValue="Wb6LsTiaYLMpknoJkmfzSGS9DTCvsjpeQSMT1y0ui/utwfx3J2ME0EPIY1iLi/kH6Uqc9DHWT6nXxQKbfYX34g==" saltValue="pVU5GcndzVATMPXYTDkclg==" spinCount="100000" sheet="1" formatColumns="0" selectLockedCells="1"/>
  <mergeCells count="3">
    <mergeCell ref="H6:H11"/>
    <mergeCell ref="H13:H14"/>
    <mergeCell ref="H21:H24"/>
  </mergeCells>
  <dataValidations count="2">
    <dataValidation type="whole" allowBlank="1" showInputMessage="1" showErrorMessage="1" errorTitle="ERRORE NEL DATO IMMESSO" error="INSERIRE SOLO NUMERI INTERI" sqref="C37:C41 G46 G9:G21 C9:C18 C21:C34" xr:uid="{9D63A772-B0AE-4232-9409-225CE0D09523}">
      <formula1>0</formula1>
      <formula2>999999999999</formula2>
    </dataValidation>
    <dataValidation type="whole" allowBlank="1" showInputMessage="1" showErrorMessage="1" errorTitle="ERRORE NEL DATO IMMESSO" error="INSERIRE SOLO NUMERI INTERI" sqref="C19 C35:C36 G47:G51 G22:G44 C42:C51" xr:uid="{601B8718-4135-4907-AA99-271350FAC17A}">
      <formula1>-999999999999</formula1>
      <formula2>999999999999</formula2>
    </dataValidation>
  </dataValidations>
  <printOptions horizontalCentered="1"/>
  <pageMargins left="0.39370078740157483" right="0.39370078740157483" top="0.78740157480314965" bottom="0.39370078740157483" header="0.51181102362204722" footer="0.15748031496062992"/>
  <pageSetup paperSize="9" scale="61" orientation="portrait" horizontalDpi="300" verticalDpi="4294967292"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P56"/>
  <sheetViews>
    <sheetView showGridLines="0" zoomScale="80" zoomScaleNormal="80" workbookViewId="0">
      <selection activeCell="F13" sqref="F13"/>
    </sheetView>
  </sheetViews>
  <sheetFormatPr defaultColWidth="12.7109375" defaultRowHeight="15" x14ac:dyDescent="0.25"/>
  <cols>
    <col min="1" max="1" width="10.7109375" style="794" customWidth="1"/>
    <col min="2" max="2" width="8.7109375" style="794" customWidth="1"/>
    <col min="3" max="3" width="2.7109375" style="771" customWidth="1"/>
    <col min="4" max="4" width="180.7109375" style="771" customWidth="1"/>
    <col min="5" max="5" width="2.7109375" style="771" customWidth="1"/>
    <col min="6" max="6" width="20.7109375" style="795" customWidth="1"/>
    <col min="7" max="7" width="50.7109375" style="770" customWidth="1"/>
    <col min="8" max="10" width="12.7109375" style="771" customWidth="1"/>
    <col min="11" max="13" width="12.7109375" style="771" hidden="1" customWidth="1"/>
    <col min="14" max="14" width="15.7109375" style="771" hidden="1" customWidth="1"/>
    <col min="15" max="16" width="12.7109375" style="771" customWidth="1"/>
    <col min="17" max="16384" width="12.7109375" style="771"/>
  </cols>
  <sheetData>
    <row r="1" spans="1:16" s="1111" customFormat="1" ht="35.1" customHeight="1" thickBot="1" x14ac:dyDescent="0.25">
      <c r="A1" s="1107"/>
      <c r="B1" s="1107"/>
      <c r="C1" s="1108"/>
      <c r="D1" s="1108"/>
      <c r="E1" s="1109"/>
      <c r="F1" s="1109"/>
      <c r="G1" s="922" t="s">
        <v>874</v>
      </c>
      <c r="H1" s="1110" t="s">
        <v>489</v>
      </c>
    </row>
    <row r="2" spans="1:16" s="1111" customFormat="1" ht="35.1" customHeight="1" x14ac:dyDescent="0.4">
      <c r="A2" s="1112" t="s">
        <v>659</v>
      </c>
      <c r="B2" s="1112"/>
      <c r="C2" s="1113"/>
      <c r="D2" s="1113"/>
      <c r="E2" s="1113"/>
      <c r="F2" s="1114"/>
      <c r="G2" s="1561" t="str">
        <f>IF(AND(ISBLANK($F$19),SUM('t15(1)'!$W:$W)+SUM('t15(1)'!$R:$R)&gt;0),"Attenzione: è necessario compilare la domanda LEG428 !!!","OK")</f>
        <v>OK</v>
      </c>
    </row>
    <row r="3" spans="1:16" s="1118" customFormat="1" ht="35.1" customHeight="1" thickBot="1" x14ac:dyDescent="0.45">
      <c r="A3" s="1112" t="s">
        <v>660</v>
      </c>
      <c r="B3" s="1112"/>
      <c r="C3" s="1115"/>
      <c r="D3" s="1115"/>
      <c r="E3" s="1116"/>
      <c r="F3" s="1117"/>
      <c r="G3" s="1565"/>
      <c r="K3" s="1119"/>
    </row>
    <row r="4" spans="1:16" s="1111" customFormat="1" ht="35.1" customHeight="1" thickBot="1" x14ac:dyDescent="0.25">
      <c r="A4" s="1120"/>
      <c r="B4" s="1121"/>
      <c r="C4" s="1122"/>
      <c r="D4" s="1122"/>
      <c r="E4" s="1123"/>
      <c r="F4" s="1124"/>
      <c r="G4" s="1125" t="s">
        <v>661</v>
      </c>
      <c r="K4" s="1119"/>
    </row>
    <row r="5" spans="1:16" s="1126" customFormat="1" ht="35.1" customHeight="1" x14ac:dyDescent="0.2">
      <c r="G5" s="1570" t="str">
        <f>IF(AND(ISBLANK(F13),),"OK",IF(AND(OR(ISBLANK(F13),YEAR(F13)&gt;'t1'!L1-1)),"OK","Attenzione: almeno una data di certificazione è antececedente l'anno "&amp;'t1'!L1&amp;", è necessario giustificare"))</f>
        <v>OK</v>
      </c>
    </row>
    <row r="6" spans="1:16" s="1126" customFormat="1" ht="35.1" customHeight="1" thickBot="1" x14ac:dyDescent="0.25">
      <c r="A6" s="1127" t="str">
        <f>'t1'!$A$1</f>
        <v>ENTI PUBBLICI NON ECONOMICI - anno 2023</v>
      </c>
      <c r="B6" s="1127"/>
      <c r="C6" s="1128"/>
      <c r="D6" s="1129"/>
      <c r="E6" s="1128"/>
      <c r="F6" s="1128"/>
      <c r="G6" s="1571"/>
    </row>
    <row r="7" spans="1:16" s="1126" customFormat="1" ht="35.1" customHeight="1" x14ac:dyDescent="0.2">
      <c r="A7" s="1130"/>
      <c r="B7" s="1130"/>
      <c r="D7" s="1131" t="s">
        <v>875</v>
      </c>
      <c r="G7" s="780"/>
      <c r="N7" s="769" t="s">
        <v>663</v>
      </c>
    </row>
    <row r="8" spans="1:16" s="1126" customFormat="1" ht="15" customHeight="1" x14ac:dyDescent="0.2">
      <c r="A8" s="1130"/>
      <c r="B8" s="1130"/>
      <c r="D8" s="1132"/>
      <c r="G8" s="780"/>
      <c r="N8" s="1133">
        <f>(COUNTIF(F:F,"&lt;&gt;"&amp;"")+COUNTIF(D52,"&lt;&gt;"&amp;"")+COUNTIF(D55,"&lt;&gt;"&amp;""))</f>
        <v>0</v>
      </c>
    </row>
    <row r="9" spans="1:16" s="1126" customFormat="1" ht="10.35" customHeight="1" x14ac:dyDescent="0.2">
      <c r="A9" s="1130"/>
      <c r="B9" s="1130"/>
      <c r="D9" s="1132"/>
      <c r="G9" s="780"/>
      <c r="N9" s="769"/>
    </row>
    <row r="10" spans="1:16" ht="10.35" customHeight="1" x14ac:dyDescent="0.25">
      <c r="A10" s="1134"/>
      <c r="B10" s="1134"/>
      <c r="D10" s="1135"/>
      <c r="E10" s="1134"/>
      <c r="F10" s="780"/>
      <c r="G10" s="780"/>
      <c r="H10" s="780"/>
    </row>
    <row r="11" spans="1:16" s="773" customFormat="1" ht="35.1" customHeight="1" x14ac:dyDescent="0.2">
      <c r="A11" s="1136" t="s">
        <v>664</v>
      </c>
      <c r="B11" s="1136"/>
      <c r="C11" s="1137"/>
      <c r="D11" s="1137" t="s">
        <v>665</v>
      </c>
      <c r="E11" s="1136"/>
      <c r="F11" s="1138"/>
      <c r="K11" s="769" t="s">
        <v>666</v>
      </c>
      <c r="L11" s="769" t="s">
        <v>667</v>
      </c>
      <c r="M11" s="769" t="s">
        <v>668</v>
      </c>
      <c r="N11" s="769" t="s">
        <v>655</v>
      </c>
    </row>
    <row r="12" spans="1:16" s="773" customFormat="1" ht="4.3499999999999996" customHeight="1" x14ac:dyDescent="0.2">
      <c r="A12" s="774"/>
      <c r="B12" s="774"/>
      <c r="D12" s="774"/>
      <c r="E12" s="774"/>
      <c r="F12" s="775"/>
      <c r="G12" s="772"/>
      <c r="K12" s="776"/>
      <c r="L12" s="776"/>
      <c r="M12" s="776"/>
      <c r="N12" s="776"/>
    </row>
    <row r="13" spans="1:16" s="773" customFormat="1" ht="30" customHeight="1" x14ac:dyDescent="0.2">
      <c r="A13" s="834" t="s">
        <v>876</v>
      </c>
      <c r="B13" s="836" t="s">
        <v>670</v>
      </c>
      <c r="C13" s="889"/>
      <c r="D13" s="810" t="s">
        <v>877</v>
      </c>
      <c r="E13" s="865"/>
      <c r="F13" s="782"/>
      <c r="G13" s="1139" t="str">
        <f ca="1">IF(AND(ISBLANK(F13),C13="x",$N$8&gt;0),"Attenzione: domanda a risposta obbligatoria",IF(ISBLANK(F13),"",IF(AND(F13&gt;=DATE('t1'!$L$1-2,1,1),F13&lt;=TODAY()),"","Digitare una data non anteriore al 1 Gennaio "&amp;'t1'!$L$1-1&amp;" (gg/mm/aaaa)")))</f>
        <v/>
      </c>
      <c r="K13" s="779" t="str">
        <f>LEFT(A13,3)</f>
        <v>GEN</v>
      </c>
      <c r="L13" s="779" t="str">
        <f>RIGHT(A13,3)</f>
        <v>196</v>
      </c>
      <c r="M13" s="779" t="str">
        <f>B13</f>
        <v>DATE</v>
      </c>
      <c r="N13" s="1140" t="str">
        <f ca="1">IF(AND(F13&gt;=DATE('t1'!$L$1-1,1,1),F13&lt;=TODAY()),"'"&amp;DAY(F13)&amp;"/"&amp;MONTH(F13)&amp;"/"&amp;YEAR(F13),"")</f>
        <v/>
      </c>
      <c r="P13" s="783"/>
    </row>
    <row r="14" spans="1:16" s="773" customFormat="1" ht="4.3499999999999996" customHeight="1" x14ac:dyDescent="0.2">
      <c r="A14" s="777"/>
      <c r="B14" s="777"/>
      <c r="C14" s="889"/>
      <c r="D14" s="866"/>
      <c r="E14" s="774"/>
      <c r="F14" s="780"/>
      <c r="G14" s="781"/>
      <c r="N14" s="785"/>
    </row>
    <row r="15" spans="1:16" s="773" customFormat="1" ht="30" customHeight="1" x14ac:dyDescent="0.2">
      <c r="A15" s="839" t="s">
        <v>671</v>
      </c>
      <c r="B15" s="840" t="s">
        <v>672</v>
      </c>
      <c r="C15" s="889" t="s">
        <v>932</v>
      </c>
      <c r="D15" s="835" t="s">
        <v>673</v>
      </c>
      <c r="E15" s="837"/>
      <c r="F15" s="841"/>
      <c r="G15" s="1139" t="str">
        <f>IF(AND(ISBLANK(F15),C15="x",$N$8&gt;0),"Attenzione: domanda a risposta obbligatoria",IF(AND(SUM(F9:F13)&gt;0,G1="ok",F15&gt;0),"Attenzione, dato incoerente",IF(ISBLANK(F15),"",IF(ISNUMBER(F15),IF(F15-INT(F15)=0,"","  Errore ! Inserire un numero intero senza decimali"),"  Errore ! Inserire un numero intero senza decimali"))))</f>
        <v/>
      </c>
      <c r="K15" s="779" t="str">
        <f>LEFT(A15,3)</f>
        <v>GEN</v>
      </c>
      <c r="L15" s="779" t="str">
        <f>RIGHT(A15,3)</f>
        <v>195</v>
      </c>
      <c r="M15" s="779" t="str">
        <f>B15</f>
        <v>INT</v>
      </c>
      <c r="N15" s="779" t="str">
        <f>IF(ISNUMBER(F15),ROUND(F15,0),"")</f>
        <v/>
      </c>
    </row>
    <row r="16" spans="1:16" s="773" customFormat="1" ht="4.3499999999999996" customHeight="1" x14ac:dyDescent="0.2">
      <c r="A16" s="784"/>
      <c r="B16" s="784"/>
      <c r="C16" s="889"/>
      <c r="D16" s="774"/>
      <c r="E16" s="774"/>
      <c r="F16" s="775"/>
      <c r="G16" s="781"/>
    </row>
    <row r="17" spans="1:14" s="773" customFormat="1" ht="30" customHeight="1" x14ac:dyDescent="0.2">
      <c r="A17" s="1136" t="s">
        <v>674</v>
      </c>
      <c r="B17" s="1136"/>
      <c r="C17" s="1141"/>
      <c r="D17" s="1137" t="s">
        <v>769</v>
      </c>
      <c r="E17" s="1136"/>
      <c r="F17" s="1138"/>
      <c r="G17" s="781"/>
    </row>
    <row r="18" spans="1:14" s="837" customFormat="1" ht="4.3499999999999996" customHeight="1" x14ac:dyDescent="0.2">
      <c r="A18" s="848"/>
      <c r="B18" s="848"/>
      <c r="C18" s="890"/>
      <c r="D18" s="848"/>
      <c r="E18" s="848"/>
      <c r="F18" s="849"/>
      <c r="G18" s="850"/>
      <c r="I18" s="1142"/>
      <c r="J18" s="851"/>
    </row>
    <row r="19" spans="1:14" s="785" customFormat="1" ht="30" customHeight="1" x14ac:dyDescent="0.2">
      <c r="A19" s="834" t="s">
        <v>878</v>
      </c>
      <c r="B19" s="836" t="s">
        <v>672</v>
      </c>
      <c r="C19" s="891" t="s">
        <v>932</v>
      </c>
      <c r="D19" s="835" t="s">
        <v>879</v>
      </c>
      <c r="F19" s="1143"/>
      <c r="G19" s="792" t="str">
        <f>IF(AND(ISBLANK(F19),C19="x",$N$8&gt;0),"Attenzione: domanda a risposta obbligatoria",IF(ISBLANK(F19),"",IF(ISNUMBER(F19),IF(F19-INT(F19)=0,"","  Errore ! Inserire un numero intero senza decimali"),"  Errore ! Inserire un numero intero senza decimali")))</f>
        <v/>
      </c>
      <c r="K19" s="786" t="str">
        <f>LEFT(A19,3)</f>
        <v>LEG</v>
      </c>
      <c r="L19" s="786" t="str">
        <f>RIGHT(A19,3)</f>
        <v>428</v>
      </c>
      <c r="M19" s="786" t="str">
        <f>B19</f>
        <v>INT</v>
      </c>
      <c r="N19" s="786" t="str">
        <f>IF(ISNUMBER(F19),ROUND(F19,0),"")</f>
        <v/>
      </c>
    </row>
    <row r="20" spans="1:14" s="838" customFormat="1" ht="4.3499999999999996" customHeight="1" x14ac:dyDescent="0.2">
      <c r="A20" s="834"/>
      <c r="B20" s="1144"/>
      <c r="C20" s="1145"/>
      <c r="D20" s="1146"/>
      <c r="E20" s="1147"/>
      <c r="F20" s="1148"/>
      <c r="G20" s="807"/>
      <c r="I20" s="1149"/>
      <c r="J20" s="1150"/>
    </row>
    <row r="21" spans="1:14" s="785" customFormat="1" ht="30" customHeight="1" x14ac:dyDescent="0.2">
      <c r="A21" s="809" t="s">
        <v>841</v>
      </c>
      <c r="B21" s="847" t="s">
        <v>672</v>
      </c>
      <c r="C21" s="891"/>
      <c r="D21" s="877" t="s">
        <v>933</v>
      </c>
      <c r="E21" s="1151"/>
      <c r="F21" s="1152"/>
      <c r="G21" s="792" t="str">
        <f>IF(AND(ISBLANK(F21),C21="x",$N$8&gt;0),"Attenzione: domanda a risposta obbligatoria",IF(ISBLANK(F21),"",IF(ISNUMBER(F21),IF(F21-INT(F21)=0,"","  Errore ! Inserire un numero intero senza decimali"),"  Errore ! Inserire un numero intero senza decimali")))</f>
        <v/>
      </c>
      <c r="K21" s="786" t="str">
        <f>LEFT(A21,3)</f>
        <v>LEG</v>
      </c>
      <c r="L21" s="786" t="str">
        <f>RIGHT(A21,3)</f>
        <v>398</v>
      </c>
      <c r="M21" s="786" t="str">
        <f>B21</f>
        <v>INT</v>
      </c>
      <c r="N21" s="786" t="str">
        <f>IF(ISNUMBER(F21),ROUND(F21,0),"")</f>
        <v/>
      </c>
    </row>
    <row r="22" spans="1:14" s="785" customFormat="1" ht="4.3499999999999996" customHeight="1" x14ac:dyDescent="0.2">
      <c r="A22" s="777"/>
      <c r="B22" s="777"/>
      <c r="C22" s="891"/>
      <c r="D22" s="774"/>
      <c r="E22" s="774"/>
      <c r="F22" s="780"/>
      <c r="G22" s="781"/>
    </row>
    <row r="23" spans="1:14" s="773" customFormat="1" ht="30" customHeight="1" x14ac:dyDescent="0.2">
      <c r="A23" s="1136" t="s">
        <v>675</v>
      </c>
      <c r="B23" s="1136"/>
      <c r="C23" s="1141"/>
      <c r="D23" s="1137" t="s">
        <v>676</v>
      </c>
      <c r="E23" s="1136"/>
      <c r="F23" s="1138"/>
      <c r="G23" s="1139"/>
      <c r="K23" s="779"/>
      <c r="L23" s="779"/>
      <c r="M23" s="779"/>
      <c r="N23" s="779"/>
    </row>
    <row r="24" spans="1:14" s="773" customFormat="1" ht="4.3499999999999996" customHeight="1" x14ac:dyDescent="0.2">
      <c r="A24" s="774"/>
      <c r="B24" s="774"/>
      <c r="C24" s="889"/>
      <c r="D24" s="774"/>
      <c r="E24" s="774"/>
      <c r="F24" s="775"/>
      <c r="G24" s="781"/>
    </row>
    <row r="25" spans="1:14" s="773" customFormat="1" ht="30" customHeight="1" x14ac:dyDescent="0.2">
      <c r="A25" s="787" t="s">
        <v>880</v>
      </c>
      <c r="B25" s="876" t="s">
        <v>672</v>
      </c>
      <c r="C25" s="889"/>
      <c r="D25" s="877" t="s">
        <v>881</v>
      </c>
      <c r="F25" s="1153"/>
      <c r="G25" s="792" t="str">
        <f>IF(AND(ISBLANK(F25),C25="x",$N$8&gt;0),"Attenzione: domanda a risposta obbligatoria",IF(ISBLANK(F25),"",IF(ISNUMBER(F25),IF(F25-INT(F25)=0,"","  Errore ! Inserire un numero intero senza decimali"),"  Errore ! Inserire un numero intero senza decimali")))</f>
        <v/>
      </c>
      <c r="K25" s="779" t="str">
        <f>LEFT(A25,3)</f>
        <v>ORG</v>
      </c>
      <c r="L25" s="779" t="str">
        <f>RIGHT(A25,3)</f>
        <v>431</v>
      </c>
      <c r="M25" s="779" t="str">
        <f>B25</f>
        <v>INT</v>
      </c>
      <c r="N25" s="779" t="str">
        <f>IF(ISNUMBER(F25),ROUND(F25,0),"")</f>
        <v/>
      </c>
    </row>
    <row r="26" spans="1:14" s="773" customFormat="1" ht="4.3499999999999996" customHeight="1" x14ac:dyDescent="0.2">
      <c r="A26" s="788"/>
      <c r="B26" s="788"/>
      <c r="C26" s="889"/>
      <c r="D26" s="774"/>
      <c r="E26" s="774"/>
      <c r="F26" s="775"/>
      <c r="G26" s="781"/>
    </row>
    <row r="27" spans="1:14" s="773" customFormat="1" ht="30" customHeight="1" x14ac:dyDescent="0.2">
      <c r="A27" s="809" t="s">
        <v>679</v>
      </c>
      <c r="B27" s="804" t="s">
        <v>672</v>
      </c>
      <c r="C27" s="891"/>
      <c r="D27" s="799" t="s">
        <v>680</v>
      </c>
      <c r="E27" s="785"/>
      <c r="F27" s="1143"/>
      <c r="G27" s="792" t="str">
        <f>IF(AND(ISBLANK(F27),C27="x",$N$8&gt;0),"Attenzione: domanda a risposta obbligatoria",IF(ISBLANK(F27),"",IF(ISNUMBER(F27),IF(F27-INT(F27)=0,"","  Errore ! Inserire un numero intero senza decimali"),"  Errore ! Inserire un numero intero senza decimali")))</f>
        <v/>
      </c>
      <c r="H27" s="785"/>
      <c r="I27" s="785"/>
      <c r="J27" s="785"/>
      <c r="K27" s="786" t="str">
        <f>LEFT(A27,3)</f>
        <v>ORG</v>
      </c>
      <c r="L27" s="786" t="str">
        <f>RIGHT(A27,3)</f>
        <v>268</v>
      </c>
      <c r="M27" s="786" t="str">
        <f>B27</f>
        <v>INT</v>
      </c>
      <c r="N27" s="786" t="str">
        <f>IF(ISNUMBER(F27),ROUND(F27,0),"")</f>
        <v/>
      </c>
    </row>
    <row r="28" spans="1:14" s="773" customFormat="1" ht="4.3499999999999996" customHeight="1" x14ac:dyDescent="0.2">
      <c r="A28" s="812"/>
      <c r="B28" s="1154"/>
      <c r="C28" s="891"/>
      <c r="D28" s="800"/>
      <c r="E28" s="800"/>
      <c r="F28" s="806"/>
      <c r="G28" s="807"/>
      <c r="H28" s="785"/>
      <c r="I28" s="1155"/>
      <c r="J28" s="814"/>
      <c r="K28" s="785"/>
      <c r="L28" s="785"/>
      <c r="M28" s="785"/>
      <c r="N28" s="785"/>
    </row>
    <row r="29" spans="1:14" s="773" customFormat="1" ht="30" customHeight="1" x14ac:dyDescent="0.2">
      <c r="A29" s="809" t="s">
        <v>685</v>
      </c>
      <c r="B29" s="804" t="s">
        <v>672</v>
      </c>
      <c r="C29" s="891"/>
      <c r="D29" s="1156" t="s">
        <v>816</v>
      </c>
      <c r="E29" s="785"/>
      <c r="F29" s="1143"/>
      <c r="G29" s="792" t="str">
        <f>IF(AND(ISBLANK(F29),C29="x",$N$8&gt;0),"Attenzione: domanda a risposta obbligatoria",IF(ISBLANK(F29),"",IF(ISNUMBER(F29),IF(F29-INT(F29)=0,"","  Errore ! Inserire un numero intero senza decimali"),"  Errore ! Inserire un numero intero senza decimali")))</f>
        <v/>
      </c>
      <c r="H29" s="785"/>
      <c r="I29" s="785"/>
      <c r="J29" s="785"/>
      <c r="K29" s="786" t="str">
        <f>LEFT(A31,3)</f>
        <v>ORG</v>
      </c>
      <c r="L29" s="786" t="str">
        <f>RIGHT(A29,3)</f>
        <v>136</v>
      </c>
      <c r="M29" s="786" t="str">
        <f>B31</f>
        <v>INT</v>
      </c>
      <c r="N29" s="786" t="str">
        <f>IF(ISNUMBER(F29),ROUND(F29,0),"")</f>
        <v/>
      </c>
    </row>
    <row r="30" spans="1:14" s="773" customFormat="1" ht="4.3499999999999996" customHeight="1" x14ac:dyDescent="0.2">
      <c r="A30" s="809"/>
      <c r="B30" s="1154"/>
      <c r="C30" s="891"/>
      <c r="D30" s="800"/>
      <c r="E30" s="800"/>
      <c r="F30" s="806"/>
      <c r="G30" s="807"/>
      <c r="H30" s="785"/>
      <c r="I30" s="1155"/>
      <c r="J30" s="814"/>
      <c r="K30" s="785"/>
      <c r="L30" s="785"/>
      <c r="M30" s="785"/>
      <c r="N30" s="785"/>
    </row>
    <row r="31" spans="1:14" s="773" customFormat="1" ht="30" customHeight="1" x14ac:dyDescent="0.2">
      <c r="A31" s="809" t="s">
        <v>681</v>
      </c>
      <c r="B31" s="804" t="s">
        <v>672</v>
      </c>
      <c r="C31" s="891"/>
      <c r="D31" s="799" t="s">
        <v>682</v>
      </c>
      <c r="E31" s="785"/>
      <c r="F31" s="1143"/>
      <c r="G31" s="792" t="str">
        <f>IF(AND(ISBLANK(F31),C31="x",$N$8&gt;0),"Attenzione: domanda a risposta obbligatoria",IF(ISBLANK(F31),"",IF(ISNUMBER(F31),IF(F31-INT(F31)=0,"","  Errore ! Inserire un numero intero senza decimali"),"  Errore ! Inserire un numero intero senza decimali")))</f>
        <v/>
      </c>
      <c r="H31" s="785"/>
      <c r="I31" s="785"/>
      <c r="J31" s="785"/>
      <c r="K31" s="786" t="str">
        <f>LEFT(A35,3)</f>
        <v>ORG</v>
      </c>
      <c r="L31" s="786" t="str">
        <f>RIGHT(A31,3)</f>
        <v>269</v>
      </c>
      <c r="M31" s="786" t="str">
        <f>B35</f>
        <v>INT</v>
      </c>
      <c r="N31" s="786" t="str">
        <f>IF(ISNUMBER(F31),ROUND(F31,0),"")</f>
        <v/>
      </c>
    </row>
    <row r="32" spans="1:14" s="773" customFormat="1" ht="4.3499999999999996" customHeight="1" x14ac:dyDescent="0.2">
      <c r="A32" s="809"/>
      <c r="B32" s="1154"/>
      <c r="C32" s="891"/>
      <c r="D32" s="800"/>
      <c r="E32" s="800"/>
      <c r="F32" s="806"/>
      <c r="G32" s="807"/>
      <c r="H32" s="785"/>
      <c r="I32" s="1155"/>
      <c r="J32" s="814"/>
      <c r="K32" s="785"/>
      <c r="L32" s="785"/>
      <c r="M32" s="785"/>
      <c r="N32" s="785"/>
    </row>
    <row r="33" spans="1:14" s="773" customFormat="1" ht="30" customHeight="1" x14ac:dyDescent="0.2">
      <c r="A33" s="809" t="s">
        <v>686</v>
      </c>
      <c r="B33" s="804" t="s">
        <v>672</v>
      </c>
      <c r="C33" s="891"/>
      <c r="D33" s="1156" t="s">
        <v>1030</v>
      </c>
      <c r="E33" s="785"/>
      <c r="F33" s="1143"/>
      <c r="G33" s="792" t="str">
        <f>IF(AND(ISBLANK(F33),C33="x",$N$8&gt;0),"Attenzione: domanda a risposta obbligatoria",IF(ISBLANK(F33),"",IF(ISNUMBER(F33),IF(F33-INT(F33)=0,"","  Errore ! Inserire un numero intero senza decimali"),"  Errore ! Inserire un numero intero senza decimali")))</f>
        <v/>
      </c>
      <c r="H33" s="785"/>
      <c r="I33" s="785"/>
      <c r="J33" s="785"/>
      <c r="K33" s="786" t="str">
        <f>LEFT(A29,3)</f>
        <v>ORG</v>
      </c>
      <c r="L33" s="786" t="str">
        <f>RIGHT(A33,3)</f>
        <v>179</v>
      </c>
      <c r="M33" s="786" t="str">
        <f>B29</f>
        <v>INT</v>
      </c>
      <c r="N33" s="786" t="str">
        <f>IF(ISNUMBER(F33),ROUND(F33,0),"")</f>
        <v/>
      </c>
    </row>
    <row r="34" spans="1:14" s="773" customFormat="1" ht="4.3499999999999996" customHeight="1" x14ac:dyDescent="0.2">
      <c r="A34" s="809"/>
      <c r="B34" s="1154"/>
      <c r="C34" s="891"/>
      <c r="D34" s="1157"/>
      <c r="E34" s="800"/>
      <c r="F34" s="806"/>
      <c r="G34" s="807"/>
      <c r="H34" s="785"/>
      <c r="I34" s="1155"/>
      <c r="J34" s="814"/>
      <c r="K34" s="785"/>
      <c r="L34" s="785"/>
      <c r="M34" s="785"/>
      <c r="N34" s="785"/>
    </row>
    <row r="35" spans="1:14" s="773" customFormat="1" ht="30" customHeight="1" x14ac:dyDescent="0.2">
      <c r="A35" s="809" t="s">
        <v>683</v>
      </c>
      <c r="B35" s="804" t="s">
        <v>672</v>
      </c>
      <c r="C35" s="891"/>
      <c r="D35" s="799" t="s">
        <v>684</v>
      </c>
      <c r="E35" s="785"/>
      <c r="F35" s="1143"/>
      <c r="G35" s="792" t="str">
        <f>IF(AND(ISBLANK(F35),C35="x",$N$8&gt;0),"Attenzione: domanda a risposta obbligatoria",IF(ISBLANK(F35),"",IF(ISNUMBER(F35),IF(F35-INT(F35)=0,"","  Errore ! Inserire un numero intero senza decimali"),"  Errore ! Inserire un numero intero senza decimali")))</f>
        <v/>
      </c>
      <c r="H35" s="785"/>
      <c r="I35" s="785"/>
      <c r="J35" s="785"/>
      <c r="K35" s="786" t="str">
        <f>LEFT(A33,3)</f>
        <v>ORG</v>
      </c>
      <c r="L35" s="786" t="str">
        <f>RIGHT(A35,3)</f>
        <v>270</v>
      </c>
      <c r="M35" s="786" t="str">
        <f>B33</f>
        <v>INT</v>
      </c>
      <c r="N35" s="786" t="str">
        <f>IF(ISNUMBER(F35),ROUND(F35,0),"")</f>
        <v/>
      </c>
    </row>
    <row r="36" spans="1:14" s="773" customFormat="1" ht="4.3499999999999996" customHeight="1" x14ac:dyDescent="0.2">
      <c r="A36" s="809"/>
      <c r="B36" s="1154"/>
      <c r="C36" s="891"/>
      <c r="D36" s="1157"/>
      <c r="E36" s="800"/>
      <c r="F36" s="806"/>
      <c r="G36" s="807"/>
      <c r="H36" s="785"/>
      <c r="I36" s="1155"/>
      <c r="J36" s="814"/>
      <c r="K36" s="785"/>
      <c r="L36" s="785"/>
      <c r="M36" s="785"/>
      <c r="N36" s="785"/>
    </row>
    <row r="37" spans="1:14" s="773" customFormat="1" ht="30" customHeight="1" x14ac:dyDescent="0.2">
      <c r="A37" s="809" t="s">
        <v>687</v>
      </c>
      <c r="B37" s="804" t="s">
        <v>672</v>
      </c>
      <c r="C37" s="891"/>
      <c r="D37" s="1156" t="s">
        <v>817</v>
      </c>
      <c r="E37" s="785"/>
      <c r="F37" s="1143"/>
      <c r="G37" s="792" t="str">
        <f>IF(AND(ISBLANK(F37),C37="x",$N$8&gt;0),"Attenzione: domanda a risposta obbligatoria",IF(ISBLANK(F37),"",IF(ISNUMBER(F37),IF(F37-INT(F37)=0,"","  Errore ! Inserire un numero intero senza decimali"),"  Errore ! Inserire un numero intero senza decimali")))</f>
        <v/>
      </c>
      <c r="H37" s="785"/>
      <c r="I37" s="785"/>
      <c r="J37" s="785"/>
      <c r="K37" s="786" t="str">
        <f>LEFT(A37,3)</f>
        <v>ORG</v>
      </c>
      <c r="L37" s="786" t="str">
        <f>RIGHT(A37,3)</f>
        <v>161</v>
      </c>
      <c r="M37" s="786" t="str">
        <f>B37</f>
        <v>INT</v>
      </c>
      <c r="N37" s="786" t="str">
        <f>IF(ISNUMBER(F37),ROUND(F37,0),"")</f>
        <v/>
      </c>
    </row>
    <row r="38" spans="1:14" s="773" customFormat="1" ht="4.3499999999999996" customHeight="1" x14ac:dyDescent="0.2">
      <c r="A38" s="809"/>
      <c r="B38" s="1154"/>
      <c r="C38" s="891"/>
      <c r="D38" s="1157"/>
      <c r="E38" s="800"/>
      <c r="F38" s="806"/>
      <c r="G38" s="807"/>
      <c r="H38" s="785"/>
      <c r="I38" s="1155"/>
      <c r="J38" s="814"/>
      <c r="K38" s="785"/>
      <c r="L38" s="785"/>
      <c r="M38" s="785"/>
      <c r="N38" s="785"/>
    </row>
    <row r="39" spans="1:14" s="773" customFormat="1" ht="30" customHeight="1" x14ac:dyDescent="0.2">
      <c r="A39" s="809" t="s">
        <v>688</v>
      </c>
      <c r="B39" s="804" t="s">
        <v>672</v>
      </c>
      <c r="C39" s="891"/>
      <c r="D39" s="1156" t="s">
        <v>689</v>
      </c>
      <c r="E39" s="785"/>
      <c r="F39" s="1143"/>
      <c r="G39" s="792" t="str">
        <f>IF(AND(ISBLANK(F39),C39="x",$N$8&gt;0),"Attenzione: domanda a risposta obbligatoria",IF(ISBLANK(F39),"",IF(ISNUMBER(F39),IF(F39-INT(F39)=0,"","  Errore ! Inserire un numero intero senza decimali"),"  Errore ! Inserire un numero intero senza decimali")))</f>
        <v/>
      </c>
      <c r="H39" s="785"/>
      <c r="I39" s="785"/>
      <c r="J39" s="785"/>
      <c r="K39" s="786" t="str">
        <f>LEFT(A39,3)</f>
        <v>ORG</v>
      </c>
      <c r="L39" s="786" t="str">
        <f>RIGHT(A39,3)</f>
        <v>271</v>
      </c>
      <c r="M39" s="786" t="str">
        <f>B39</f>
        <v>INT</v>
      </c>
      <c r="N39" s="786" t="str">
        <f>IF(ISNUMBER(F39),ROUND(F39,0),"")</f>
        <v/>
      </c>
    </row>
    <row r="40" spans="1:14" s="773" customFormat="1" ht="4.3499999999999996" customHeight="1" x14ac:dyDescent="0.2">
      <c r="A40" s="809"/>
      <c r="B40" s="1154"/>
      <c r="C40" s="891"/>
      <c r="D40" s="1157"/>
      <c r="E40" s="800"/>
      <c r="F40" s="806"/>
      <c r="G40" s="807"/>
      <c r="H40" s="785"/>
      <c r="I40" s="1155"/>
      <c r="J40" s="814"/>
      <c r="K40" s="785"/>
      <c r="L40" s="785"/>
      <c r="M40" s="785"/>
      <c r="N40" s="785"/>
    </row>
    <row r="41" spans="1:14" s="773" customFormat="1" ht="30" customHeight="1" x14ac:dyDescent="0.2">
      <c r="A41" s="809" t="s">
        <v>690</v>
      </c>
      <c r="B41" s="804" t="s">
        <v>672</v>
      </c>
      <c r="C41" s="891"/>
      <c r="D41" s="1156" t="s">
        <v>818</v>
      </c>
      <c r="E41" s="785"/>
      <c r="F41" s="1143"/>
      <c r="G41" s="792" t="str">
        <f>IF(AND(ISBLANK(F41),C41="x",$N$8&gt;0),"Attenzione: domanda a risposta obbligatoria",IF(ISBLANK(F41),"",IF(ISNUMBER(F41),IF(F41-INT(F41)=0,"","  Errore ! Inserire un numero intero senza decimali"),"  Errore ! Inserire un numero intero senza decimali")))</f>
        <v/>
      </c>
      <c r="H41" s="785"/>
      <c r="I41" s="785"/>
      <c r="J41" s="785"/>
      <c r="K41" s="786" t="str">
        <f>LEFT(A41,3)</f>
        <v>ORG</v>
      </c>
      <c r="L41" s="786" t="str">
        <f>RIGHT(A41,3)</f>
        <v>272</v>
      </c>
      <c r="M41" s="786" t="str">
        <f>B41</f>
        <v>INT</v>
      </c>
      <c r="N41" s="786" t="str">
        <f>IF(ISNUMBER(F41),ROUND(F41,0),"")</f>
        <v/>
      </c>
    </row>
    <row r="42" spans="1:14" s="773" customFormat="1" ht="4.3499999999999996" customHeight="1" x14ac:dyDescent="0.2">
      <c r="A42" s="784"/>
      <c r="B42" s="784"/>
      <c r="C42" s="889"/>
      <c r="D42" s="774"/>
      <c r="E42" s="774"/>
      <c r="F42" s="775"/>
      <c r="G42" s="789"/>
      <c r="I42" s="1158"/>
      <c r="J42" s="790"/>
    </row>
    <row r="43" spans="1:14" s="773" customFormat="1" ht="30" customHeight="1" x14ac:dyDescent="0.2">
      <c r="A43" s="1136" t="s">
        <v>691</v>
      </c>
      <c r="B43" s="1136"/>
      <c r="C43" s="1141"/>
      <c r="D43" s="1137" t="s">
        <v>815</v>
      </c>
      <c r="E43" s="1136"/>
      <c r="F43" s="1138"/>
      <c r="G43" s="1139"/>
      <c r="K43" s="779"/>
      <c r="L43" s="779"/>
      <c r="M43" s="779"/>
      <c r="N43" s="779"/>
    </row>
    <row r="44" spans="1:14" s="773" customFormat="1" ht="4.3499999999999996" customHeight="1" x14ac:dyDescent="0.2">
      <c r="A44" s="774"/>
      <c r="B44" s="774"/>
      <c r="C44" s="889"/>
      <c r="D44" s="774"/>
      <c r="E44" s="774"/>
      <c r="F44" s="775"/>
      <c r="G44" s="789"/>
      <c r="I44" s="1158"/>
      <c r="J44" s="790"/>
    </row>
    <row r="45" spans="1:14" s="773" customFormat="1" ht="30" customHeight="1" x14ac:dyDescent="0.2">
      <c r="A45" s="787" t="s">
        <v>692</v>
      </c>
      <c r="B45" s="778" t="s">
        <v>672</v>
      </c>
      <c r="C45" s="889"/>
      <c r="D45" s="772" t="s">
        <v>819</v>
      </c>
      <c r="F45" s="1153"/>
      <c r="G45" s="792" t="str">
        <f>IF(AND(ISBLANK(F45),C45="x",$N$8&gt;0),"Attenzione: domanda a risposta obbligatoria",IF(ISBLANK(F45),"",IF(ISNUMBER(F45),IF(F45-INT(F45)=0,"","  Errore ! Inserire un numero intero senza decimali"),"  Errore ! Inserire un numero intero senza decimali")))</f>
        <v/>
      </c>
      <c r="K45" s="779" t="str">
        <f>LEFT(A45,3)</f>
        <v>PRD</v>
      </c>
      <c r="L45" s="779" t="str">
        <f>RIGHT(A45,3)</f>
        <v>137</v>
      </c>
      <c r="M45" s="779" t="str">
        <f>B45</f>
        <v>INT</v>
      </c>
      <c r="N45" s="779" t="str">
        <f>IF(ISNUMBER(F45),ROUND(F45,0),"")</f>
        <v/>
      </c>
    </row>
    <row r="46" spans="1:14" s="773" customFormat="1" ht="4.3499999999999996" customHeight="1" x14ac:dyDescent="0.2">
      <c r="A46" s="787"/>
      <c r="B46" s="787"/>
      <c r="C46" s="889"/>
      <c r="D46" s="774"/>
      <c r="E46" s="774"/>
      <c r="F46" s="775"/>
      <c r="G46" s="781"/>
    </row>
    <row r="47" spans="1:14" s="773" customFormat="1" ht="30" customHeight="1" x14ac:dyDescent="0.2">
      <c r="A47" s="787" t="s">
        <v>693</v>
      </c>
      <c r="B47" s="778" t="s">
        <v>672</v>
      </c>
      <c r="C47" s="889"/>
      <c r="D47" s="772" t="s">
        <v>820</v>
      </c>
      <c r="F47" s="1153"/>
      <c r="G47" s="792" t="str">
        <f>IF(AND(ISBLANK(F47),C47="x",$N$8&gt;0),"Attenzione: domanda a risposta obbligatoria",IF(ISBLANK(F47),"",IF(ISNUMBER(F47),IF(F47-INT(F47)=0,"","  Errore ! Inserire un numero intero senza decimali"),"  Errore ! Inserire un numero intero senza decimali")))</f>
        <v/>
      </c>
      <c r="K47" s="779" t="str">
        <f>LEFT(A47,3)</f>
        <v>PRD</v>
      </c>
      <c r="L47" s="779" t="str">
        <f>RIGHT(A47,3)</f>
        <v>115</v>
      </c>
      <c r="M47" s="779" t="str">
        <f>B47</f>
        <v>INT</v>
      </c>
      <c r="N47" s="779" t="str">
        <f>IF(ISNUMBER(F47),ROUND(F47,0),"")</f>
        <v/>
      </c>
    </row>
    <row r="48" spans="1:14" s="773" customFormat="1" ht="4.3499999999999996" customHeight="1" x14ac:dyDescent="0.2">
      <c r="A48" s="787"/>
      <c r="B48" s="787"/>
      <c r="C48" s="889"/>
      <c r="D48" s="774"/>
      <c r="E48" s="774"/>
      <c r="F48" s="775"/>
      <c r="G48" s="781"/>
    </row>
    <row r="49" spans="1:14" s="773" customFormat="1" ht="30" customHeight="1" x14ac:dyDescent="0.2">
      <c r="A49" s="1136" t="s">
        <v>694</v>
      </c>
      <c r="B49" s="1136"/>
      <c r="C49" s="1137"/>
      <c r="D49" s="1137" t="s">
        <v>695</v>
      </c>
      <c r="E49" s="1159"/>
      <c r="F49" s="1160"/>
      <c r="G49" s="1139"/>
      <c r="K49" s="779"/>
      <c r="L49" s="779"/>
      <c r="M49" s="779"/>
    </row>
    <row r="50" spans="1:14" s="773" customFormat="1" ht="4.3499999999999996" customHeight="1" x14ac:dyDescent="0.2">
      <c r="A50" s="791"/>
      <c r="B50" s="791"/>
      <c r="D50" s="774"/>
      <c r="E50" s="774"/>
      <c r="F50" s="775"/>
      <c r="G50" s="789"/>
      <c r="I50" s="1158"/>
      <c r="J50" s="790"/>
    </row>
    <row r="51" spans="1:14" s="773" customFormat="1" ht="15" customHeight="1" x14ac:dyDescent="0.2">
      <c r="A51" s="803" t="s">
        <v>696</v>
      </c>
      <c r="B51" s="804" t="s">
        <v>393</v>
      </c>
      <c r="D51" s="799" t="s">
        <v>697</v>
      </c>
      <c r="E51" s="785"/>
      <c r="F51" s="801"/>
      <c r="G51" s="817"/>
      <c r="K51" s="786" t="str">
        <f>LEFT(A51,3)</f>
        <v>INF</v>
      </c>
      <c r="L51" s="786" t="str">
        <f>RIGHT(A51,3)</f>
        <v>209</v>
      </c>
      <c r="M51" s="786" t="str">
        <f>B51</f>
        <v>NOTE</v>
      </c>
      <c r="N51" s="785" t="str">
        <f>IF(ISBLANK(D52),"",LEFT(D52,1500))</f>
        <v/>
      </c>
    </row>
    <row r="52" spans="1:14" s="773" customFormat="1" ht="45" customHeight="1" x14ac:dyDescent="0.2">
      <c r="A52" s="1161"/>
      <c r="B52" s="1161"/>
      <c r="D52" s="1572"/>
      <c r="E52" s="1573"/>
      <c r="F52" s="1574"/>
      <c r="G52" s="792" t="str">
        <f>IF(LEN(D52)&gt;1500,"Attenzione, è stato superato il numero massimo di 1500 caratteri","")</f>
        <v/>
      </c>
      <c r="I52" s="1158"/>
      <c r="J52" s="790"/>
    </row>
    <row r="53" spans="1:14" s="773" customFormat="1" ht="15" customHeight="1" x14ac:dyDescent="0.2">
      <c r="A53" s="818"/>
      <c r="B53" s="818"/>
      <c r="D53" s="800"/>
      <c r="E53" s="800"/>
      <c r="F53" s="819"/>
      <c r="G53" s="816"/>
      <c r="I53" s="1158"/>
      <c r="J53" s="790"/>
      <c r="K53" s="786"/>
      <c r="L53" s="786"/>
      <c r="M53" s="786"/>
      <c r="N53" s="785"/>
    </row>
    <row r="54" spans="1:14" s="773" customFormat="1" ht="15" customHeight="1" x14ac:dyDescent="0.2">
      <c r="A54" s="803" t="s">
        <v>698</v>
      </c>
      <c r="B54" s="804" t="s">
        <v>393</v>
      </c>
      <c r="D54" s="799" t="s">
        <v>699</v>
      </c>
      <c r="E54" s="785"/>
      <c r="F54" s="801"/>
      <c r="G54" s="817"/>
      <c r="I54" s="1158"/>
      <c r="J54" s="790"/>
      <c r="K54" s="786" t="str">
        <f>LEFT(A54,3)</f>
        <v>INF</v>
      </c>
      <c r="L54" s="786" t="str">
        <f>RIGHT(A54,3)</f>
        <v>127</v>
      </c>
      <c r="M54" s="786" t="str">
        <f>B54</f>
        <v>NOTE</v>
      </c>
      <c r="N54" s="785" t="str">
        <f>IF(ISBLANK(D55),"",LEFT(D55,1500))</f>
        <v/>
      </c>
    </row>
    <row r="55" spans="1:14" s="773" customFormat="1" ht="45" customHeight="1" x14ac:dyDescent="0.2">
      <c r="A55" s="1161"/>
      <c r="B55" s="1161"/>
      <c r="D55" s="1572"/>
      <c r="E55" s="1573"/>
      <c r="F55" s="1574"/>
      <c r="G55" s="792" t="str">
        <f>IF(LEN(D55)&gt;1500,"Attenzione, è stato superato il numero massimo di 1500 caratteri","")</f>
        <v/>
      </c>
      <c r="K55" s="793" t="s">
        <v>547</v>
      </c>
      <c r="L55" s="785"/>
      <c r="M55" s="785"/>
      <c r="N55" s="785"/>
    </row>
    <row r="56" spans="1:14" s="868" customFormat="1" x14ac:dyDescent="0.25">
      <c r="A56" s="867"/>
      <c r="B56" s="867"/>
      <c r="F56" s="869"/>
      <c r="G56" s="870"/>
    </row>
  </sheetData>
  <sheetProtection algorithmName="SHA-512" hashValue="bpuTYp7YtWXyIHdEXHOFhYsIpzxz/kVTgjyff7AxmKRhQDUTueVdLFEPzWdynmCc24TiHMQ6Uug5ram1Op3bwQ==" saltValue="Q5XjjWRYsziZ7Uqhzr/XNg==" spinCount="100000" sheet="1" formatColumns="0" selectLockedCells="1"/>
  <dataConsolidate/>
  <mergeCells count="4">
    <mergeCell ref="G2:G3"/>
    <mergeCell ref="G5:G6"/>
    <mergeCell ref="D52:F52"/>
    <mergeCell ref="D55:F55"/>
  </mergeCells>
  <dataValidations count="3">
    <dataValidation type="whole" operator="lessThan" allowBlank="1" showInputMessage="1" showErrorMessage="1" errorTitle="Errore di digitazione" error="Inserire solo numeri interi o lasciare vuoto." sqref="F47 F25 F15 F45 F21 F19 F41 F27 F35 F29 F31 F33 F37 F39" xr:uid="{7D5481CB-85FB-4981-9E7D-8DE6A0629BEE}">
      <formula1>100000000000000</formula1>
    </dataValidation>
    <dataValidation type="textLength" allowBlank="1" showInputMessage="1" showErrorMessage="1" error="Inserire massimo 1500 caratteri" sqref="D55:F55 D52:F52" xr:uid="{80609D01-CE4B-407E-97B5-9CBF37206F38}">
      <formula1>0</formula1>
      <formula2>1500</formula2>
    </dataValidation>
    <dataValidation type="date" allowBlank="1" showInputMessage="1" showErrorMessage="1" errorTitle="Errore di digitazione" error="Digitare una data non anteriore al 1 Gennaio dell'anno precedente alla di rilevazione (gg/mm/aaaa)" sqref="F13" xr:uid="{2B8ECB6F-7A8C-40F4-AE30-AF56A43A76D9}">
      <formula1>44562</formula1>
      <formula2>TODAY()</formula2>
    </dataValidation>
  </dataValidations>
  <printOptions horizontalCentered="1"/>
  <pageMargins left="0.39370078740157483" right="0.39370078740157483" top="0.78740157480314965" bottom="0.39370078740157483" header="0.31496062992125984" footer="0.31496062992125984"/>
  <pageSetup paperSize="9" scale="53"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N66"/>
  <sheetViews>
    <sheetView showGridLines="0" zoomScale="80" zoomScaleNormal="80" workbookViewId="0">
      <selection activeCell="F13" sqref="F13"/>
    </sheetView>
  </sheetViews>
  <sheetFormatPr defaultColWidth="12.7109375" defaultRowHeight="15" x14ac:dyDescent="0.25"/>
  <cols>
    <col min="1" max="1" width="10.7109375" style="794" customWidth="1"/>
    <col min="2" max="2" width="8.7109375" style="794" customWidth="1"/>
    <col min="3" max="3" width="2.7109375" style="771" customWidth="1"/>
    <col min="4" max="4" width="180.7109375" style="771" customWidth="1"/>
    <col min="5" max="5" width="2.7109375" style="771" customWidth="1"/>
    <col min="6" max="6" width="20.7109375" style="795" customWidth="1"/>
    <col min="7" max="7" width="50.7109375" style="770" customWidth="1"/>
    <col min="8" max="10" width="12.7109375" style="771" customWidth="1"/>
    <col min="11" max="13" width="12.7109375" style="771" hidden="1" customWidth="1"/>
    <col min="14" max="14" width="15.7109375" style="771" hidden="1" customWidth="1"/>
    <col min="15" max="16384" width="12.7109375" style="771"/>
  </cols>
  <sheetData>
    <row r="1" spans="1:14" s="1111" customFormat="1" ht="35.1" customHeight="1" thickBot="1" x14ac:dyDescent="0.25">
      <c r="A1" s="1107"/>
      <c r="B1" s="1107"/>
      <c r="C1" s="1108"/>
      <c r="D1" s="1108"/>
      <c r="E1" s="1109"/>
      <c r="F1" s="1109"/>
      <c r="G1" s="922" t="s">
        <v>874</v>
      </c>
      <c r="H1" s="1162" t="s">
        <v>472</v>
      </c>
    </row>
    <row r="2" spans="1:14" s="1111" customFormat="1" ht="35.1" customHeight="1" x14ac:dyDescent="0.4">
      <c r="A2" s="1112" t="s">
        <v>659</v>
      </c>
      <c r="B2" s="1112"/>
      <c r="C2" s="1113"/>
      <c r="D2" s="1113"/>
      <c r="E2" s="1113"/>
      <c r="F2" s="1114"/>
      <c r="G2" s="1561" t="str">
        <f>IF(AND(ISBLANK($F$23),SUM('t15(2)'!$W:$W)+SUM('t15(2)'!$R:$R)&gt;0),"Attenzione: è necessario compilare la domanda LEG428 !!!","OK")</f>
        <v>OK</v>
      </c>
    </row>
    <row r="3" spans="1:14" s="1118" customFormat="1" ht="35.1" customHeight="1" thickBot="1" x14ac:dyDescent="0.45">
      <c r="A3" s="1112" t="s">
        <v>660</v>
      </c>
      <c r="B3" s="1112"/>
      <c r="C3" s="1115"/>
      <c r="D3" s="1115"/>
      <c r="E3" s="1116"/>
      <c r="F3" s="1117"/>
      <c r="G3" s="1565"/>
      <c r="K3" s="1119"/>
    </row>
    <row r="4" spans="1:14" s="1126" customFormat="1" ht="35.1" customHeight="1" thickBot="1" x14ac:dyDescent="0.25">
      <c r="A4" s="1120"/>
      <c r="B4" s="1121"/>
      <c r="C4" s="1122"/>
      <c r="D4" s="1122"/>
      <c r="E4" s="1123"/>
      <c r="F4" s="1124"/>
      <c r="G4" s="1125" t="s">
        <v>661</v>
      </c>
    </row>
    <row r="5" spans="1:14" s="1126" customFormat="1" ht="35.1" customHeight="1" x14ac:dyDescent="0.2">
      <c r="G5" s="1570" t="str">
        <f>IF(AND(ISBLANK(F13),ISBLANK(F17)),"OK",IF(AND(OR(ISBLANK(F13),YEAR(F13)&gt;'t1'!L1-1),OR(ISBLANK(F17),YEAR(F17)&gt;'t1'!L1-1)),"OK","Attenzione: almeno una data di certificazione è antececedente l'anno "&amp;'t1'!L1&amp;", è necessario giustificare"))</f>
        <v>OK</v>
      </c>
    </row>
    <row r="6" spans="1:14" s="1126" customFormat="1" ht="35.1" customHeight="1" thickBot="1" x14ac:dyDescent="0.25">
      <c r="A6" s="1127" t="str">
        <f>'t1'!$A$1</f>
        <v>ENTI PUBBLICI NON ECONOMICI - anno 2023</v>
      </c>
      <c r="B6" s="1127"/>
      <c r="C6" s="1128"/>
      <c r="D6" s="1129"/>
      <c r="E6" s="1128"/>
      <c r="F6" s="1128"/>
      <c r="G6" s="1571"/>
    </row>
    <row r="7" spans="1:14" s="1126" customFormat="1" ht="35.1" customHeight="1" x14ac:dyDescent="0.25">
      <c r="A7" s="1130"/>
      <c r="B7" s="1130"/>
      <c r="D7" s="1131" t="s">
        <v>662</v>
      </c>
      <c r="G7" s="770"/>
      <c r="N7" s="769" t="s">
        <v>663</v>
      </c>
    </row>
    <row r="8" spans="1:14" s="1126" customFormat="1" ht="15" customHeight="1" x14ac:dyDescent="0.25">
      <c r="A8" s="1130"/>
      <c r="B8" s="1130"/>
      <c r="D8" s="1132"/>
      <c r="G8" s="770"/>
      <c r="N8" s="1133">
        <f>(COUNTIF(F:F,"&lt;&gt;"&amp;"")+COUNTIF(D62,"&lt;&gt;"&amp;"")+COUNTIF(D65,"&lt;&gt;"&amp;""))</f>
        <v>0</v>
      </c>
    </row>
    <row r="9" spans="1:14" s="1126" customFormat="1" ht="10.35" customHeight="1" x14ac:dyDescent="0.25">
      <c r="A9" s="1130"/>
      <c r="B9" s="1130"/>
      <c r="D9" s="1132"/>
      <c r="G9" s="770"/>
      <c r="N9" s="769"/>
    </row>
    <row r="10" spans="1:14" ht="10.35" customHeight="1" x14ac:dyDescent="0.25">
      <c r="A10" s="1134"/>
      <c r="B10" s="1134"/>
      <c r="D10" s="1135"/>
      <c r="E10" s="1134"/>
      <c r="F10" s="780"/>
    </row>
    <row r="11" spans="1:14" s="773" customFormat="1" ht="35.1" customHeight="1" x14ac:dyDescent="0.2">
      <c r="A11" s="1136" t="s">
        <v>664</v>
      </c>
      <c r="B11" s="1136"/>
      <c r="C11" s="1137"/>
      <c r="D11" s="1137" t="s">
        <v>665</v>
      </c>
      <c r="E11" s="1136"/>
      <c r="F11" s="1138"/>
      <c r="G11" s="772"/>
      <c r="K11" s="769" t="s">
        <v>666</v>
      </c>
      <c r="L11" s="769" t="s">
        <v>667</v>
      </c>
      <c r="M11" s="769" t="s">
        <v>668</v>
      </c>
      <c r="N11" s="769" t="s">
        <v>655</v>
      </c>
    </row>
    <row r="12" spans="1:14" s="773" customFormat="1" ht="4.3499999999999996" customHeight="1" x14ac:dyDescent="0.2">
      <c r="A12" s="774"/>
      <c r="B12" s="774"/>
      <c r="D12" s="774"/>
      <c r="E12" s="774"/>
      <c r="F12" s="775"/>
      <c r="G12" s="772"/>
      <c r="K12" s="776"/>
      <c r="L12" s="776"/>
      <c r="M12" s="776"/>
      <c r="N12" s="776"/>
    </row>
    <row r="13" spans="1:14" s="773" customFormat="1" ht="30" customHeight="1" x14ac:dyDescent="0.2">
      <c r="A13" s="834" t="s">
        <v>736</v>
      </c>
      <c r="B13" s="836" t="s">
        <v>670</v>
      </c>
      <c r="C13" s="889"/>
      <c r="D13" s="810" t="s">
        <v>905</v>
      </c>
      <c r="E13" s="837"/>
      <c r="F13" s="782"/>
      <c r="G13" s="1139" t="str">
        <f ca="1">IF(AND(ISBLANK(F13),C13="x",$N$8&gt;0),"Attenzione: domanda a risposta obbligatoria",IF(ISBLANK(F13),"",IF(AND(F13&gt;=DATE('t1'!$L$1-2,1,1),F13&lt;=TODAY()),"","Digitare una data non anteriore al 1 Gennaio "&amp;'t1'!$L$1-1&amp;" (gg/mm/aaaa)")))</f>
        <v/>
      </c>
      <c r="K13" s="779" t="str">
        <f>LEFT(A13,3)</f>
        <v>GEN</v>
      </c>
      <c r="L13" s="779" t="str">
        <f>RIGHT(A13,3)</f>
        <v>353</v>
      </c>
      <c r="M13" s="779" t="str">
        <f>B13</f>
        <v>DATE</v>
      </c>
      <c r="N13" s="1140" t="str">
        <f ca="1">IF(AND(F13&gt;=DATE('t1'!$L$1-1,1,1),F13&lt;=TODAY()),"'"&amp;DAY(F13)&amp;"/"&amp;MONTH(F13)&amp;"/"&amp;YEAR(F13),"")</f>
        <v/>
      </c>
    </row>
    <row r="14" spans="1:14" s="773" customFormat="1" ht="4.3499999999999996" customHeight="1" x14ac:dyDescent="0.2">
      <c r="A14" s="777"/>
      <c r="B14" s="777"/>
      <c r="C14" s="889"/>
      <c r="D14" s="866"/>
      <c r="E14" s="774"/>
      <c r="F14" s="780"/>
      <c r="G14" s="781"/>
      <c r="N14" s="785"/>
    </row>
    <row r="15" spans="1:14" s="773" customFormat="1" ht="30" customHeight="1" x14ac:dyDescent="0.2">
      <c r="A15" s="834" t="s">
        <v>737</v>
      </c>
      <c r="B15" s="836" t="s">
        <v>670</v>
      </c>
      <c r="C15" s="889"/>
      <c r="D15" s="810" t="s">
        <v>906</v>
      </c>
      <c r="E15" s="837"/>
      <c r="F15" s="782"/>
      <c r="G15" s="1139" t="str">
        <f ca="1">IF(AND(ISBLANK(F15),C15="x",$N$8&gt;0),"Attenzione: domanda a risposta obbligatoria",IF(ISBLANK(F15),"",IF(AND(F15&gt;=DATE('t1'!$L$1-2,1,1),F15&lt;=TODAY()),"","Digitare una data non anteriore al 1 Gennaio "&amp;'t1'!$L$1-1&amp;" (gg/mm/aaaa)")))</f>
        <v/>
      </c>
      <c r="K15" s="779" t="str">
        <f>LEFT(A15,3)</f>
        <v>GEN</v>
      </c>
      <c r="L15" s="779" t="str">
        <f>RIGHT(A15,3)</f>
        <v>354</v>
      </c>
      <c r="M15" s="779" t="str">
        <f>B15</f>
        <v>DATE</v>
      </c>
      <c r="N15" s="1140" t="str">
        <f ca="1">IF(AND(F15&gt;=DATE('t1'!$L$1-1,1,1),F15&lt;=TODAY()),"'"&amp;DAY(F15)&amp;"/"&amp;MONTH(F15)&amp;"/"&amp;YEAR(F15),"")</f>
        <v/>
      </c>
    </row>
    <row r="16" spans="1:14" s="773" customFormat="1" ht="4.3499999999999996" customHeight="1" x14ac:dyDescent="0.2">
      <c r="A16" s="777"/>
      <c r="B16" s="777"/>
      <c r="C16" s="889"/>
      <c r="D16" s="810"/>
      <c r="E16" s="774"/>
      <c r="F16" s="780"/>
      <c r="G16" s="781"/>
      <c r="N16" s="785"/>
    </row>
    <row r="17" spans="1:14" s="773" customFormat="1" ht="30" customHeight="1" x14ac:dyDescent="0.2">
      <c r="A17" s="834" t="s">
        <v>738</v>
      </c>
      <c r="B17" s="836" t="s">
        <v>670</v>
      </c>
      <c r="C17" s="889"/>
      <c r="D17" s="810" t="s">
        <v>907</v>
      </c>
      <c r="E17" s="838"/>
      <c r="F17" s="782"/>
      <c r="G17" s="1139" t="str">
        <f ca="1">IF(AND(ISBLANK(F17),C17="x",$N$8&gt;0),"Attenzione: domanda a risposta obbligatoria",IF(ISBLANK(F17),"",IF(AND(F17&gt;=DATE('t1'!$L$1-2,1,1),F17&lt;=TODAY()),"","Digitare una data non anteriore al 1 Gennaio "&amp;'t1'!$L$1-1&amp;" (gg/mm/aaaa)")))</f>
        <v/>
      </c>
      <c r="K17" s="779" t="str">
        <f>LEFT(A17,3)</f>
        <v>GEN</v>
      </c>
      <c r="L17" s="779" t="str">
        <f>RIGHT(A17,3)</f>
        <v>355</v>
      </c>
      <c r="M17" s="779" t="str">
        <f>B17</f>
        <v>DATE</v>
      </c>
      <c r="N17" s="1140" t="str">
        <f ca="1">IF(AND(F17&gt;=DATE('t1'!$L$1-1,1,1),F17&lt;=TODAY()),"'"&amp;DAY(F17)&amp;"/"&amp;MONTH(F17)&amp;"/"&amp;YEAR(F17),"")</f>
        <v/>
      </c>
    </row>
    <row r="18" spans="1:14" s="773" customFormat="1" ht="4.3499999999999996" customHeight="1" x14ac:dyDescent="0.2">
      <c r="A18" s="777"/>
      <c r="B18" s="777"/>
      <c r="C18" s="889"/>
      <c r="D18" s="774"/>
      <c r="E18" s="774"/>
      <c r="F18" s="780"/>
      <c r="G18" s="781"/>
    </row>
    <row r="19" spans="1:14" s="773" customFormat="1" ht="30" customHeight="1" x14ac:dyDescent="0.2">
      <c r="A19" s="839" t="s">
        <v>671</v>
      </c>
      <c r="B19" s="840" t="s">
        <v>672</v>
      </c>
      <c r="C19" s="889" t="s">
        <v>932</v>
      </c>
      <c r="D19" s="835" t="s">
        <v>673</v>
      </c>
      <c r="E19" s="837"/>
      <c r="F19" s="841"/>
      <c r="G19" s="1139" t="str">
        <f>IF(AND(ISBLANK(F19),C19="x",$N$8&gt;0),"Attenzione: domanda a risposta obbligatoria",IF(AND(SUM(F13:F17)&gt;0,G5="ok",F19&gt;0),"Attenzione, dato incoerente",IF(ISBLANK(F19),"",IF(ISNUMBER(F19),IF(F19-INT(F19)=0,"","  Errore ! Inserire un numero intero senza decimali"),"  Errore ! Inserire un numero intero senza decimali"))))</f>
        <v/>
      </c>
      <c r="K19" s="779" t="str">
        <f>LEFT(A19,3)</f>
        <v>GEN</v>
      </c>
      <c r="L19" s="779" t="str">
        <f>RIGHT(A19,3)</f>
        <v>195</v>
      </c>
      <c r="M19" s="779" t="str">
        <f>B19</f>
        <v>INT</v>
      </c>
      <c r="N19" s="779" t="str">
        <f>IF(ISNUMBER(F19),ROUND(F19,0),"")</f>
        <v/>
      </c>
    </row>
    <row r="20" spans="1:14" s="773" customFormat="1" ht="4.3499999999999996" customHeight="1" x14ac:dyDescent="0.2">
      <c r="A20" s="784"/>
      <c r="B20" s="784"/>
      <c r="C20" s="889"/>
      <c r="D20" s="774"/>
      <c r="E20" s="774"/>
      <c r="F20" s="775"/>
      <c r="G20" s="781"/>
    </row>
    <row r="21" spans="1:14" s="773" customFormat="1" ht="30" customHeight="1" x14ac:dyDescent="0.2">
      <c r="A21" s="1136" t="s">
        <v>674</v>
      </c>
      <c r="B21" s="1136"/>
      <c r="C21" s="1141"/>
      <c r="D21" s="1137" t="s">
        <v>769</v>
      </c>
      <c r="E21" s="1136"/>
      <c r="F21" s="1138"/>
      <c r="G21" s="781"/>
    </row>
    <row r="22" spans="1:14" s="837" customFormat="1" ht="4.3499999999999996" customHeight="1" x14ac:dyDescent="0.2">
      <c r="A22" s="848"/>
      <c r="B22" s="848"/>
      <c r="C22" s="890"/>
      <c r="D22" s="848"/>
      <c r="E22" s="848"/>
      <c r="F22" s="849"/>
      <c r="G22" s="850"/>
      <c r="I22" s="1142"/>
      <c r="J22" s="851"/>
    </row>
    <row r="23" spans="1:14" s="785" customFormat="1" ht="30" customHeight="1" x14ac:dyDescent="0.2">
      <c r="A23" s="834" t="s">
        <v>878</v>
      </c>
      <c r="B23" s="836" t="s">
        <v>672</v>
      </c>
      <c r="C23" s="891" t="s">
        <v>932</v>
      </c>
      <c r="D23" s="835" t="s">
        <v>879</v>
      </c>
      <c r="F23" s="1143"/>
      <c r="G23" s="792" t="str">
        <f>IF(AND(ISBLANK(F23),C23="x",$N$8&gt;0),"Attenzione: domanda a risposta obbligatoria",IF(ISBLANK(F23),"",IF(ISNUMBER(F23),IF(F23-INT(F23)=0,"","  Errore ! Inserire un numero intero senza decimali"),"  Errore ! Inserire un numero intero senza decimali")))</f>
        <v/>
      </c>
      <c r="K23" s="786" t="str">
        <f>LEFT(A23,3)</f>
        <v>LEG</v>
      </c>
      <c r="L23" s="786" t="str">
        <f>RIGHT(A23,3)</f>
        <v>428</v>
      </c>
      <c r="M23" s="786" t="str">
        <f>B23</f>
        <v>INT</v>
      </c>
      <c r="N23" s="786" t="str">
        <f>IF(ISNUMBER(F23),ROUND(F23,0),"")</f>
        <v/>
      </c>
    </row>
    <row r="24" spans="1:14" s="838" customFormat="1" ht="4.3499999999999996" customHeight="1" x14ac:dyDescent="0.2">
      <c r="A24" s="834"/>
      <c r="B24" s="1144"/>
      <c r="C24" s="1145"/>
      <c r="D24" s="1146"/>
      <c r="E24" s="1147"/>
      <c r="F24" s="1148"/>
      <c r="G24" s="1163"/>
      <c r="I24" s="1149"/>
      <c r="J24" s="1150"/>
    </row>
    <row r="25" spans="1:14" s="785" customFormat="1" ht="30" customHeight="1" x14ac:dyDescent="0.2">
      <c r="A25" s="809" t="s">
        <v>841</v>
      </c>
      <c r="B25" s="847" t="s">
        <v>672</v>
      </c>
      <c r="C25" s="891"/>
      <c r="D25" s="877" t="s">
        <v>933</v>
      </c>
      <c r="E25" s="1151"/>
      <c r="F25" s="1152"/>
      <c r="G25" s="792" t="str">
        <f>IF(AND(ISBLANK(F25),C25="x",$N$8&gt;0),"Attenzione: domanda a risposta obbligatoria",IF(ISBLANK(F25),"",IF(ISNUMBER(F25),IF(F25-INT(F25)=0,"","  Errore ! Inserire un numero intero senza decimali"),"  Errore ! Inserire un numero intero senza decimali")))</f>
        <v/>
      </c>
      <c r="K25" s="786" t="str">
        <f>LEFT(A25,3)</f>
        <v>LEG</v>
      </c>
      <c r="L25" s="786" t="str">
        <f>RIGHT(A25,3)</f>
        <v>398</v>
      </c>
      <c r="M25" s="786" t="str">
        <f>B25</f>
        <v>INT</v>
      </c>
      <c r="N25" s="786" t="str">
        <f>IF(ISNUMBER(F25),ROUND(F25,0),"")</f>
        <v/>
      </c>
    </row>
    <row r="26" spans="1:14" s="785" customFormat="1" ht="4.3499999999999996" customHeight="1" x14ac:dyDescent="0.2">
      <c r="A26" s="777"/>
      <c r="B26" s="777"/>
      <c r="C26" s="891"/>
      <c r="D26" s="774"/>
      <c r="E26" s="774"/>
      <c r="F26" s="780"/>
      <c r="G26" s="781"/>
    </row>
    <row r="27" spans="1:14" s="773" customFormat="1" ht="30" customHeight="1" x14ac:dyDescent="0.2">
      <c r="A27" s="1136" t="s">
        <v>675</v>
      </c>
      <c r="B27" s="1136"/>
      <c r="C27" s="1141"/>
      <c r="D27" s="1137" t="s">
        <v>676</v>
      </c>
      <c r="E27" s="1136"/>
      <c r="F27" s="1138"/>
      <c r="G27" s="1139"/>
      <c r="K27" s="779"/>
      <c r="L27" s="779"/>
      <c r="M27" s="779"/>
      <c r="N27" s="779"/>
    </row>
    <row r="28" spans="1:14" s="773" customFormat="1" ht="4.3499999999999996" customHeight="1" x14ac:dyDescent="0.2">
      <c r="A28" s="774"/>
      <c r="B28" s="774"/>
      <c r="C28" s="889"/>
      <c r="D28" s="774"/>
      <c r="E28" s="774"/>
      <c r="F28" s="775"/>
      <c r="G28" s="781"/>
    </row>
    <row r="29" spans="1:14" s="773" customFormat="1" ht="30" customHeight="1" x14ac:dyDescent="0.2">
      <c r="A29" s="809" t="s">
        <v>677</v>
      </c>
      <c r="B29" s="804" t="s">
        <v>672</v>
      </c>
      <c r="C29" s="891"/>
      <c r="D29" s="799" t="s">
        <v>678</v>
      </c>
      <c r="E29" s="785"/>
      <c r="F29" s="1143"/>
      <c r="G29" s="792" t="str">
        <f>IF(AND(ISBLANK(F29),C29="x",$N$8&gt;0),"Attenzione: domanda a risposta obbligatoria",IF(ISBLANK(F29),"",IF(ISNUMBER(F29),IF(F29-INT(F29)=0,"","  Errore ! Inserire un numero intero senza decimali"),"  Errore ! Inserire un numero intero senza decimali")))</f>
        <v/>
      </c>
      <c r="H29" s="785"/>
      <c r="I29" s="785"/>
      <c r="J29" s="785"/>
      <c r="K29" s="786" t="str">
        <f>LEFT(A29,3)</f>
        <v>ORG</v>
      </c>
      <c r="L29" s="786" t="str">
        <f>RIGHT(A29,3)</f>
        <v>189</v>
      </c>
      <c r="M29" s="786" t="str">
        <f>B29</f>
        <v>INT</v>
      </c>
      <c r="N29" s="786" t="str">
        <f>IF(ISNUMBER(F29),ROUND(F29,0),"")</f>
        <v/>
      </c>
    </row>
    <row r="30" spans="1:14" s="773" customFormat="1" ht="4.3499999999999996" customHeight="1" x14ac:dyDescent="0.2">
      <c r="A30" s="812"/>
      <c r="B30" s="1154"/>
      <c r="C30" s="891"/>
      <c r="D30" s="800"/>
      <c r="E30" s="800"/>
      <c r="F30" s="806"/>
      <c r="G30" s="807"/>
      <c r="H30" s="785"/>
      <c r="I30" s="1155"/>
      <c r="J30" s="814"/>
      <c r="K30" s="785"/>
      <c r="L30" s="785"/>
      <c r="M30" s="785"/>
      <c r="N30" s="785"/>
    </row>
    <row r="31" spans="1:14" s="773" customFormat="1" ht="30" customHeight="1" x14ac:dyDescent="0.2">
      <c r="A31" s="809" t="s">
        <v>679</v>
      </c>
      <c r="B31" s="804" t="s">
        <v>672</v>
      </c>
      <c r="C31" s="891"/>
      <c r="D31" s="799" t="s">
        <v>680</v>
      </c>
      <c r="E31" s="785"/>
      <c r="F31" s="1143"/>
      <c r="G31" s="792" t="str">
        <f>IF(AND(ISBLANK(F31),C31="x",$N$8&gt;0),"Attenzione: domanda a risposta obbligatoria",IF(ISBLANK(F31),"",IF(ISNUMBER(F31),IF(F31-INT(F31)=0,"","  Errore ! Inserire un numero intero senza decimali"),"  Errore ! Inserire un numero intero senza decimali")))</f>
        <v/>
      </c>
      <c r="H31" s="785"/>
      <c r="I31" s="785"/>
      <c r="J31" s="785"/>
      <c r="K31" s="786" t="str">
        <f>LEFT(A31,3)</f>
        <v>ORG</v>
      </c>
      <c r="L31" s="786" t="str">
        <f>RIGHT(A31,3)</f>
        <v>268</v>
      </c>
      <c r="M31" s="786" t="str">
        <f>B31</f>
        <v>INT</v>
      </c>
      <c r="N31" s="786" t="str">
        <f>IF(ISNUMBER(F31),ROUND(F31,0),"")</f>
        <v/>
      </c>
    </row>
    <row r="32" spans="1:14" s="773" customFormat="1" ht="4.3499999999999996" customHeight="1" x14ac:dyDescent="0.2">
      <c r="A32" s="812"/>
      <c r="B32" s="1154"/>
      <c r="C32" s="891"/>
      <c r="D32" s="800"/>
      <c r="E32" s="800"/>
      <c r="F32" s="806"/>
      <c r="G32" s="807"/>
      <c r="H32" s="785"/>
      <c r="I32" s="1155"/>
      <c r="J32" s="814"/>
      <c r="K32" s="785"/>
      <c r="L32" s="785"/>
      <c r="M32" s="785"/>
      <c r="N32" s="785"/>
    </row>
    <row r="33" spans="1:14" s="773" customFormat="1" ht="30" customHeight="1" x14ac:dyDescent="0.2">
      <c r="A33" s="809" t="s">
        <v>685</v>
      </c>
      <c r="B33" s="804" t="s">
        <v>672</v>
      </c>
      <c r="C33" s="891"/>
      <c r="D33" s="1156" t="s">
        <v>816</v>
      </c>
      <c r="E33" s="785"/>
      <c r="F33" s="1143"/>
      <c r="G33" s="792" t="str">
        <f>IF(AND(ISBLANK(F33),C33="x",$N$8&gt;0),"Attenzione: domanda a risposta obbligatoria",IF(ISBLANK(F33),"",IF(ISNUMBER(F33),IF(F33-INT(F33)=0,"","  Errore ! Inserire un numero intero senza decimali"),"  Errore ! Inserire un numero intero senza decimali")))</f>
        <v/>
      </c>
      <c r="H33" s="785"/>
      <c r="I33" s="785"/>
      <c r="J33" s="785"/>
      <c r="K33" s="786" t="str">
        <f>LEFT(A35,3)</f>
        <v>ORG</v>
      </c>
      <c r="L33" s="786" t="str">
        <f>RIGHT(A33,3)</f>
        <v>136</v>
      </c>
      <c r="M33" s="786" t="str">
        <f>B35</f>
        <v>INT</v>
      </c>
      <c r="N33" s="786" t="str">
        <f>IF(ISNUMBER(F33),ROUND(F33,0),"")</f>
        <v/>
      </c>
    </row>
    <row r="34" spans="1:14" s="773" customFormat="1" ht="4.3499999999999996" customHeight="1" x14ac:dyDescent="0.2">
      <c r="A34" s="809"/>
      <c r="B34" s="1154"/>
      <c r="C34" s="891"/>
      <c r="D34" s="800"/>
      <c r="E34" s="800"/>
      <c r="F34" s="806"/>
      <c r="G34" s="807"/>
      <c r="H34" s="785"/>
      <c r="I34" s="1155"/>
      <c r="J34" s="814"/>
      <c r="K34" s="785"/>
      <c r="L34" s="785"/>
      <c r="M34" s="785"/>
      <c r="N34" s="785"/>
    </row>
    <row r="35" spans="1:14" s="773" customFormat="1" ht="30" customHeight="1" x14ac:dyDescent="0.2">
      <c r="A35" s="809" t="s">
        <v>681</v>
      </c>
      <c r="B35" s="804" t="s">
        <v>672</v>
      </c>
      <c r="C35" s="891"/>
      <c r="D35" s="799" t="s">
        <v>682</v>
      </c>
      <c r="E35" s="785"/>
      <c r="F35" s="1143"/>
      <c r="G35" s="792" t="str">
        <f>IF(AND(ISBLANK(F35),C35="x",$N$8&gt;0),"Attenzione: domanda a risposta obbligatoria",IF(ISBLANK(F35),"",IF(ISNUMBER(F35),IF(F35-INT(F35)=0,"","  Errore ! Inserire un numero intero senza decimali"),"  Errore ! Inserire un numero intero senza decimali")))</f>
        <v/>
      </c>
      <c r="H35" s="785"/>
      <c r="I35" s="785"/>
      <c r="J35" s="785"/>
      <c r="K35" s="786" t="str">
        <f>LEFT(A39,3)</f>
        <v>ORG</v>
      </c>
      <c r="L35" s="786" t="str">
        <f>RIGHT(A35,3)</f>
        <v>269</v>
      </c>
      <c r="M35" s="786" t="str">
        <f>B39</f>
        <v>INT</v>
      </c>
      <c r="N35" s="786" t="str">
        <f>IF(ISNUMBER(F35),ROUND(F35,0),"")</f>
        <v/>
      </c>
    </row>
    <row r="36" spans="1:14" s="773" customFormat="1" ht="4.3499999999999996" customHeight="1" x14ac:dyDescent="0.2">
      <c r="A36" s="809"/>
      <c r="B36" s="1154"/>
      <c r="C36" s="891"/>
      <c r="D36" s="800"/>
      <c r="E36" s="800"/>
      <c r="F36" s="806"/>
      <c r="G36" s="807"/>
      <c r="H36" s="785"/>
      <c r="I36" s="1155"/>
      <c r="J36" s="814"/>
      <c r="K36" s="785"/>
      <c r="L36" s="785"/>
      <c r="M36" s="785"/>
      <c r="N36" s="785"/>
    </row>
    <row r="37" spans="1:14" s="773" customFormat="1" ht="30" customHeight="1" x14ac:dyDescent="0.2">
      <c r="A37" s="809" t="s">
        <v>686</v>
      </c>
      <c r="B37" s="804" t="s">
        <v>672</v>
      </c>
      <c r="C37" s="891"/>
      <c r="D37" s="1156" t="s">
        <v>1030</v>
      </c>
      <c r="E37" s="785"/>
      <c r="F37" s="1143"/>
      <c r="G37" s="792" t="str">
        <f>IF(AND(ISBLANK(F37),C37="x",$N$8&gt;0),"Attenzione: domanda a risposta obbligatoria",IF(ISBLANK(F37),"",IF(ISNUMBER(F37),IF(F37-INT(F37)=0,"","  Errore ! Inserire un numero intero senza decimali"),"  Errore ! Inserire un numero intero senza decimali")))</f>
        <v/>
      </c>
      <c r="H37" s="785"/>
      <c r="I37" s="785"/>
      <c r="J37" s="785"/>
      <c r="K37" s="786" t="str">
        <f>LEFT(A33,3)</f>
        <v>ORG</v>
      </c>
      <c r="L37" s="786" t="str">
        <f>RIGHT(A37,3)</f>
        <v>179</v>
      </c>
      <c r="M37" s="786" t="str">
        <f>B33</f>
        <v>INT</v>
      </c>
      <c r="N37" s="786" t="str">
        <f>IF(ISNUMBER(F37),ROUND(F37,0),"")</f>
        <v/>
      </c>
    </row>
    <row r="38" spans="1:14" s="773" customFormat="1" ht="4.3499999999999996" customHeight="1" x14ac:dyDescent="0.2">
      <c r="A38" s="809"/>
      <c r="B38" s="1154"/>
      <c r="C38" s="891"/>
      <c r="D38" s="1157"/>
      <c r="E38" s="800"/>
      <c r="F38" s="806"/>
      <c r="G38" s="807"/>
      <c r="H38" s="785"/>
      <c r="I38" s="1155"/>
      <c r="J38" s="814"/>
      <c r="K38" s="785"/>
      <c r="L38" s="785"/>
      <c r="M38" s="785"/>
      <c r="N38" s="785"/>
    </row>
    <row r="39" spans="1:14" s="773" customFormat="1" ht="30" customHeight="1" x14ac:dyDescent="0.2">
      <c r="A39" s="809" t="s">
        <v>683</v>
      </c>
      <c r="B39" s="804" t="s">
        <v>672</v>
      </c>
      <c r="C39" s="891"/>
      <c r="D39" s="799" t="s">
        <v>684</v>
      </c>
      <c r="E39" s="785"/>
      <c r="F39" s="1143"/>
      <c r="G39" s="792" t="str">
        <f>IF(AND(ISBLANK(F39),C39="x",$N$8&gt;0),"Attenzione: domanda a risposta obbligatoria",IF(ISBLANK(F39),"",IF(ISNUMBER(F39),IF(F39-INT(F39)=0,"","  Errore ! Inserire un numero intero senza decimali"),"  Errore ! Inserire un numero intero senza decimali")))</f>
        <v/>
      </c>
      <c r="H39" s="785"/>
      <c r="I39" s="785"/>
      <c r="J39" s="785"/>
      <c r="K39" s="786" t="str">
        <f>LEFT(A37,3)</f>
        <v>ORG</v>
      </c>
      <c r="L39" s="786" t="str">
        <f>RIGHT(A39,3)</f>
        <v>270</v>
      </c>
      <c r="M39" s="786" t="str">
        <f>B37</f>
        <v>INT</v>
      </c>
      <c r="N39" s="786" t="str">
        <f>IF(ISNUMBER(F39),ROUND(F39,0),"")</f>
        <v/>
      </c>
    </row>
    <row r="40" spans="1:14" s="773" customFormat="1" ht="4.3499999999999996" customHeight="1" x14ac:dyDescent="0.2">
      <c r="A40" s="809"/>
      <c r="B40" s="1154"/>
      <c r="C40" s="891"/>
      <c r="D40" s="1157"/>
      <c r="E40" s="800"/>
      <c r="F40" s="806"/>
      <c r="G40" s="807"/>
      <c r="H40" s="785"/>
      <c r="I40" s="1155"/>
      <c r="J40" s="814"/>
      <c r="K40" s="785"/>
      <c r="L40" s="785"/>
      <c r="M40" s="785"/>
      <c r="N40" s="785"/>
    </row>
    <row r="41" spans="1:14" s="773" customFormat="1" ht="30" customHeight="1" x14ac:dyDescent="0.2">
      <c r="A41" s="809" t="s">
        <v>687</v>
      </c>
      <c r="B41" s="804" t="s">
        <v>672</v>
      </c>
      <c r="C41" s="891"/>
      <c r="D41" s="1156" t="s">
        <v>817</v>
      </c>
      <c r="E41" s="785"/>
      <c r="F41" s="1143"/>
      <c r="G41" s="792" t="str">
        <f>IF(AND(ISBLANK(F41),C41="x",$N$8&gt;0),"Attenzione: domanda a risposta obbligatoria",IF(ISBLANK(F41),"",IF(ISNUMBER(F41),IF(F41-INT(F41)=0,"","  Errore ! Inserire un numero intero senza decimali"),"  Errore ! Inserire un numero intero senza decimali")))</f>
        <v/>
      </c>
      <c r="H41" s="785"/>
      <c r="I41" s="785"/>
      <c r="J41" s="785"/>
      <c r="K41" s="786" t="str">
        <f>LEFT(A41,3)</f>
        <v>ORG</v>
      </c>
      <c r="L41" s="786" t="str">
        <f>RIGHT(A41,3)</f>
        <v>161</v>
      </c>
      <c r="M41" s="786" t="str">
        <f>B41</f>
        <v>INT</v>
      </c>
      <c r="N41" s="786" t="str">
        <f>IF(ISNUMBER(F41),ROUND(F41,0),"")</f>
        <v/>
      </c>
    </row>
    <row r="42" spans="1:14" s="773" customFormat="1" ht="4.3499999999999996" customHeight="1" x14ac:dyDescent="0.2">
      <c r="A42" s="809"/>
      <c r="B42" s="1154"/>
      <c r="C42" s="891"/>
      <c r="D42" s="1157"/>
      <c r="E42" s="800"/>
      <c r="F42" s="806"/>
      <c r="G42" s="807"/>
      <c r="H42" s="785"/>
      <c r="I42" s="1155"/>
      <c r="J42" s="814"/>
      <c r="K42" s="785"/>
      <c r="L42" s="785"/>
      <c r="M42" s="785"/>
      <c r="N42" s="785"/>
    </row>
    <row r="43" spans="1:14" s="773" customFormat="1" ht="30" customHeight="1" x14ac:dyDescent="0.2">
      <c r="A43" s="809" t="s">
        <v>688</v>
      </c>
      <c r="B43" s="804" t="s">
        <v>672</v>
      </c>
      <c r="C43" s="891"/>
      <c r="D43" s="1156" t="s">
        <v>689</v>
      </c>
      <c r="E43" s="785"/>
      <c r="F43" s="1143"/>
      <c r="G43" s="792" t="str">
        <f>IF(AND(ISBLANK(F43),C43="x",$N$8&gt;0),"Attenzione: domanda a risposta obbligatoria",IF(ISBLANK(F43),"",IF(ISNUMBER(F43),IF(F43-INT(F43)=0,"","  Errore ! Inserire un numero intero senza decimali"),"  Errore ! Inserire un numero intero senza decimali")))</f>
        <v/>
      </c>
      <c r="H43" s="785"/>
      <c r="I43" s="785"/>
      <c r="J43" s="785"/>
      <c r="K43" s="786" t="str">
        <f>LEFT(A43,3)</f>
        <v>ORG</v>
      </c>
      <c r="L43" s="786" t="str">
        <f>RIGHT(A43,3)</f>
        <v>271</v>
      </c>
      <c r="M43" s="786" t="str">
        <f>B43</f>
        <v>INT</v>
      </c>
      <c r="N43" s="786" t="str">
        <f>IF(ISNUMBER(F43),ROUND(F43,0),"")</f>
        <v/>
      </c>
    </row>
    <row r="44" spans="1:14" s="773" customFormat="1" ht="4.3499999999999996" customHeight="1" x14ac:dyDescent="0.2">
      <c r="A44" s="809"/>
      <c r="B44" s="1154"/>
      <c r="C44" s="891"/>
      <c r="D44" s="1157"/>
      <c r="E44" s="800"/>
      <c r="F44" s="806"/>
      <c r="G44" s="807"/>
      <c r="H44" s="785"/>
      <c r="I44" s="1155"/>
      <c r="J44" s="814"/>
      <c r="K44" s="785"/>
      <c r="L44" s="785"/>
      <c r="M44" s="785"/>
      <c r="N44" s="785"/>
    </row>
    <row r="45" spans="1:14" s="773" customFormat="1" ht="30" customHeight="1" x14ac:dyDescent="0.2">
      <c r="A45" s="809" t="s">
        <v>690</v>
      </c>
      <c r="B45" s="804" t="s">
        <v>672</v>
      </c>
      <c r="C45" s="891"/>
      <c r="D45" s="1156" t="s">
        <v>818</v>
      </c>
      <c r="E45" s="785"/>
      <c r="F45" s="1143"/>
      <c r="G45" s="792" t="str">
        <f>IF(AND(ISBLANK(F45),C45="x",$N$8&gt;0),"Attenzione: domanda a risposta obbligatoria",IF(ISBLANK(F45),"",IF(ISNUMBER(F45),IF(F45-INT(F45)=0,"","  Errore ! Inserire un numero intero senza decimali"),"  Errore ! Inserire un numero intero senza decimali")))</f>
        <v/>
      </c>
      <c r="H45" s="785"/>
      <c r="I45" s="785"/>
      <c r="J45" s="785"/>
      <c r="K45" s="786" t="str">
        <f>LEFT(A45,3)</f>
        <v>ORG</v>
      </c>
      <c r="L45" s="786" t="str">
        <f>RIGHT(A45,3)</f>
        <v>272</v>
      </c>
      <c r="M45" s="786" t="str">
        <f>B45</f>
        <v>INT</v>
      </c>
      <c r="N45" s="786" t="str">
        <f>IF(ISNUMBER(F45),ROUND(F45,0),"")</f>
        <v/>
      </c>
    </row>
    <row r="46" spans="1:14" s="773" customFormat="1" ht="4.3499999999999996" customHeight="1" x14ac:dyDescent="0.2">
      <c r="A46" s="784"/>
      <c r="B46" s="784"/>
      <c r="C46" s="889"/>
      <c r="D46" s="774"/>
      <c r="E46" s="774"/>
      <c r="F46" s="775"/>
      <c r="G46" s="789"/>
      <c r="I46" s="1158"/>
      <c r="J46" s="790"/>
    </row>
    <row r="47" spans="1:14" s="773" customFormat="1" ht="30" customHeight="1" x14ac:dyDescent="0.2">
      <c r="A47" s="1136" t="s">
        <v>691</v>
      </c>
      <c r="B47" s="1136"/>
      <c r="C47" s="1141"/>
      <c r="D47" s="1137" t="s">
        <v>815</v>
      </c>
      <c r="E47" s="1136"/>
      <c r="F47" s="1138"/>
      <c r="G47" s="1139"/>
      <c r="K47" s="779"/>
      <c r="L47" s="779"/>
      <c r="M47" s="779"/>
      <c r="N47" s="779"/>
    </row>
    <row r="48" spans="1:14" s="773" customFormat="1" ht="4.3499999999999996" customHeight="1" x14ac:dyDescent="0.2">
      <c r="A48" s="774"/>
      <c r="B48" s="774"/>
      <c r="C48" s="889"/>
      <c r="D48" s="774"/>
      <c r="E48" s="774"/>
      <c r="F48" s="775"/>
      <c r="G48" s="789"/>
      <c r="I48" s="1158"/>
      <c r="J48" s="790"/>
    </row>
    <row r="49" spans="1:14" s="773" customFormat="1" ht="30" customHeight="1" x14ac:dyDescent="0.2">
      <c r="A49" s="787" t="s">
        <v>692</v>
      </c>
      <c r="B49" s="778" t="s">
        <v>672</v>
      </c>
      <c r="C49" s="889"/>
      <c r="D49" s="772" t="s">
        <v>819</v>
      </c>
      <c r="F49" s="1153"/>
      <c r="G49" s="792" t="str">
        <f>IF(AND(ISBLANK(F49),C49="x",$N$8&gt;0),"Attenzione: domanda a risposta obbligatoria",IF(ISBLANK(F49),"",IF(ISNUMBER(F49),IF(F49-INT(F49)=0,"","  Errore ! Inserire un numero intero senza decimali"),"  Errore ! Inserire un numero intero senza decimali")))</f>
        <v/>
      </c>
      <c r="K49" s="779" t="str">
        <f>LEFT(A49,3)</f>
        <v>PRD</v>
      </c>
      <c r="L49" s="779" t="str">
        <f>RIGHT(A49,3)</f>
        <v>137</v>
      </c>
      <c r="M49" s="779" t="str">
        <f>B49</f>
        <v>INT</v>
      </c>
      <c r="N49" s="779" t="str">
        <f>IF(ISNUMBER(F49),ROUND(F49,0),"")</f>
        <v/>
      </c>
    </row>
    <row r="50" spans="1:14" s="773" customFormat="1" ht="4.3499999999999996" customHeight="1" x14ac:dyDescent="0.2">
      <c r="A50" s="787"/>
      <c r="B50" s="787"/>
      <c r="C50" s="889"/>
      <c r="D50" s="774"/>
      <c r="E50" s="774"/>
      <c r="F50" s="775"/>
      <c r="G50" s="781"/>
    </row>
    <row r="51" spans="1:14" s="773" customFormat="1" ht="30" customHeight="1" x14ac:dyDescent="0.2">
      <c r="A51" s="787" t="s">
        <v>693</v>
      </c>
      <c r="B51" s="778" t="s">
        <v>672</v>
      </c>
      <c r="C51" s="889"/>
      <c r="D51" s="772" t="s">
        <v>820</v>
      </c>
      <c r="F51" s="1153"/>
      <c r="G51" s="792" t="str">
        <f>IF(AND(ISBLANK(F51),C51="x",$N$8&gt;0),"Attenzione: domanda a risposta obbligatoria",IF(ISBLANK(F51),"",IF(ISNUMBER(F51),IF(F51-INT(F51)=0,"","  Errore ! Inserire un numero intero senza decimali"),"  Errore ! Inserire un numero intero senza decimali")))</f>
        <v/>
      </c>
      <c r="K51" s="779" t="str">
        <f>LEFT(A51,3)</f>
        <v>PRD</v>
      </c>
      <c r="L51" s="779" t="str">
        <f>RIGHT(A51,3)</f>
        <v>115</v>
      </c>
      <c r="M51" s="779" t="str">
        <f>B51</f>
        <v>INT</v>
      </c>
      <c r="N51" s="779" t="str">
        <f>IF(ISNUMBER(F51),ROUND(F51,0),"")</f>
        <v/>
      </c>
    </row>
    <row r="52" spans="1:14" s="773" customFormat="1" ht="4.3499999999999996" customHeight="1" x14ac:dyDescent="0.2">
      <c r="A52" s="787"/>
      <c r="B52" s="787"/>
      <c r="C52" s="889"/>
      <c r="D52" s="774"/>
      <c r="E52" s="774"/>
      <c r="F52" s="775"/>
      <c r="G52" s="781"/>
    </row>
    <row r="53" spans="1:14" s="838" customFormat="1" ht="30" customHeight="1" x14ac:dyDescent="0.2">
      <c r="A53" s="834" t="s">
        <v>1161</v>
      </c>
      <c r="B53" s="836" t="s">
        <v>669</v>
      </c>
      <c r="C53" s="1174"/>
      <c r="D53" s="835" t="s">
        <v>1162</v>
      </c>
      <c r="F53" s="1377"/>
      <c r="G53" s="1378" t="str">
        <f>IF(AND(ISBLANK(F53),C53="x",$N$8&gt;0),"Attenzione: domanda a risposta obbligatoria",IF(ISBLANK(F53),"",IF(AND(LEN(F53)=1,OR(UPPER(F53)="N",UPPER(F53)="S")),"",IF(ISBLANK(F53),"","  Errore ! Inserire S o N"))))</f>
        <v/>
      </c>
      <c r="K53" s="1379" t="str">
        <f>LEFT(A53,3)</f>
        <v>PRD</v>
      </c>
      <c r="L53" s="1379" t="str">
        <f>RIGHT(A53,3)</f>
        <v>480</v>
      </c>
      <c r="M53" s="1379" t="str">
        <f>B53</f>
        <v>FLAG</v>
      </c>
      <c r="N53" s="1380" t="str">
        <f>IF(AND(LEN(F53)=1,OR(UPPER(F53)="N",UPPER(F53)="S")),UPPER(F53),"")</f>
        <v/>
      </c>
    </row>
    <row r="54" spans="1:14" s="838" customFormat="1" ht="4.3499999999999996" customHeight="1" x14ac:dyDescent="0.2">
      <c r="A54" s="834"/>
      <c r="B54" s="834"/>
      <c r="C54" s="1174"/>
      <c r="D54" s="1395"/>
      <c r="E54" s="1147"/>
      <c r="F54" s="1148"/>
      <c r="G54" s="1381"/>
    </row>
    <row r="55" spans="1:14" s="838" customFormat="1" ht="30" customHeight="1" x14ac:dyDescent="0.2">
      <c r="A55" s="834" t="s">
        <v>1163</v>
      </c>
      <c r="B55" s="836" t="s">
        <v>672</v>
      </c>
      <c r="C55" s="1174"/>
      <c r="D55" s="835" t="s">
        <v>1164</v>
      </c>
      <c r="F55" s="1172"/>
      <c r="G55" s="1378" t="str">
        <f>IF(AND(ISBLANK(F55),C55="x",$N$8&gt;0),"Attenzione: domanda a risposta obbligatoria",IF(ISBLANK(F55),"",IF(ISNUMBER(F55),IF(F55-INT(F55)=0,"","  Errore ! Inserire un numero intero senza decimali"),"  Errore ! Inserire un numero intero senza decimali")))</f>
        <v/>
      </c>
      <c r="K55" s="1379" t="str">
        <f>LEFT(A55,3)</f>
        <v>PRD</v>
      </c>
      <c r="L55" s="1379" t="str">
        <f>RIGHT(A55,3)</f>
        <v>481</v>
      </c>
      <c r="M55" s="1379" t="str">
        <f>B55</f>
        <v>INT</v>
      </c>
      <c r="N55" s="1379" t="str">
        <f>IF(ISNUMBER(F55),ROUND(F55,0),"")</f>
        <v/>
      </c>
    </row>
    <row r="56" spans="1:14" s="838" customFormat="1" ht="4.3499999999999996" customHeight="1" x14ac:dyDescent="0.2">
      <c r="A56" s="834"/>
      <c r="B56" s="834"/>
      <c r="C56" s="1174"/>
      <c r="D56" s="1395"/>
      <c r="E56" s="1147"/>
      <c r="F56" s="1148"/>
      <c r="G56" s="1381"/>
    </row>
    <row r="57" spans="1:14" s="838" customFormat="1" ht="30" customHeight="1" x14ac:dyDescent="0.2">
      <c r="A57" s="834" t="s">
        <v>1165</v>
      </c>
      <c r="B57" s="836" t="s">
        <v>672</v>
      </c>
      <c r="C57" s="1174"/>
      <c r="D57" s="835" t="s">
        <v>1166</v>
      </c>
      <c r="F57" s="1172"/>
      <c r="G57" s="1378" t="str">
        <f>IF(AND(ISBLANK(F57),C57="x",$N$8&gt;0),"Attenzione: domanda a risposta obbligatoria",IF(ISBLANK(F57),"",IF(ISNUMBER(F57),IF(F57-INT(F57)=0,"","  Errore ! Inserire un numero intero senza decimali"),"  Errore ! Inserire un numero intero senza decimali")))</f>
        <v/>
      </c>
      <c r="K57" s="1379" t="str">
        <f>LEFT(A57,3)</f>
        <v>PRD</v>
      </c>
      <c r="L57" s="1379" t="str">
        <f>RIGHT(A57,3)</f>
        <v>482</v>
      </c>
      <c r="M57" s="1379" t="str">
        <f>B57</f>
        <v>INT</v>
      </c>
      <c r="N57" s="1379" t="str">
        <f>IF(ISNUMBER(F57),ROUND(F57,0),"")</f>
        <v/>
      </c>
    </row>
    <row r="58" spans="1:14" s="838" customFormat="1" ht="4.3499999999999996" customHeight="1" x14ac:dyDescent="0.2">
      <c r="A58" s="834"/>
      <c r="B58" s="834"/>
      <c r="D58" s="1382"/>
      <c r="E58" s="1147"/>
      <c r="F58" s="1148"/>
      <c r="G58" s="1381"/>
    </row>
    <row r="59" spans="1:14" s="773" customFormat="1" ht="30" customHeight="1" x14ac:dyDescent="0.2">
      <c r="A59" s="1136" t="s">
        <v>694</v>
      </c>
      <c r="B59" s="1136"/>
      <c r="C59" s="1137"/>
      <c r="D59" s="1137" t="s">
        <v>695</v>
      </c>
      <c r="E59" s="1159"/>
      <c r="F59" s="1160"/>
      <c r="G59" s="1139"/>
      <c r="K59" s="779"/>
      <c r="L59" s="779"/>
      <c r="M59" s="779"/>
    </row>
    <row r="60" spans="1:14" s="773" customFormat="1" ht="4.3499999999999996" customHeight="1" x14ac:dyDescent="0.2">
      <c r="A60" s="791"/>
      <c r="B60" s="791"/>
      <c r="D60" s="774"/>
      <c r="E60" s="774"/>
      <c r="F60" s="775"/>
      <c r="G60" s="789"/>
      <c r="I60" s="1158"/>
      <c r="J60" s="790"/>
    </row>
    <row r="61" spans="1:14" s="773" customFormat="1" ht="15" customHeight="1" x14ac:dyDescent="0.2">
      <c r="A61" s="803" t="s">
        <v>696</v>
      </c>
      <c r="B61" s="804" t="s">
        <v>393</v>
      </c>
      <c r="D61" s="799" t="s">
        <v>697</v>
      </c>
      <c r="E61" s="785"/>
      <c r="F61" s="801"/>
      <c r="G61" s="817"/>
      <c r="K61" s="786" t="str">
        <f>LEFT(A61,3)</f>
        <v>INF</v>
      </c>
      <c r="L61" s="786" t="str">
        <f>RIGHT(A61,3)</f>
        <v>209</v>
      </c>
      <c r="M61" s="786" t="str">
        <f>B61</f>
        <v>NOTE</v>
      </c>
      <c r="N61" s="785" t="str">
        <f>IF(ISBLANK(D62),"",LEFT(D62,1500))</f>
        <v/>
      </c>
    </row>
    <row r="62" spans="1:14" s="773" customFormat="1" ht="45" customHeight="1" x14ac:dyDescent="0.2">
      <c r="A62" s="1161"/>
      <c r="B62" s="1161"/>
      <c r="D62" s="1572"/>
      <c r="E62" s="1573"/>
      <c r="F62" s="1574"/>
      <c r="G62" s="792" t="str">
        <f>IF(LEN(D62)&gt;1500,"Attenzione, è stato superato il numero massimo di 1500 caratteri","")</f>
        <v/>
      </c>
      <c r="I62" s="1158"/>
      <c r="J62" s="790"/>
    </row>
    <row r="63" spans="1:14" s="773" customFormat="1" ht="15" customHeight="1" x14ac:dyDescent="0.2">
      <c r="A63" s="818"/>
      <c r="B63" s="818"/>
      <c r="D63" s="800"/>
      <c r="E63" s="800"/>
      <c r="F63" s="819"/>
      <c r="G63" s="816"/>
      <c r="I63" s="1158"/>
      <c r="J63" s="790"/>
      <c r="K63" s="786"/>
      <c r="L63" s="786"/>
      <c r="M63" s="786"/>
      <c r="N63" s="785"/>
    </row>
    <row r="64" spans="1:14" s="773" customFormat="1" ht="15" customHeight="1" x14ac:dyDescent="0.2">
      <c r="A64" s="803" t="s">
        <v>698</v>
      </c>
      <c r="B64" s="804" t="s">
        <v>393</v>
      </c>
      <c r="D64" s="799" t="s">
        <v>699</v>
      </c>
      <c r="E64" s="785"/>
      <c r="F64" s="801"/>
      <c r="G64" s="817"/>
      <c r="I64" s="1158"/>
      <c r="J64" s="790"/>
      <c r="K64" s="786" t="str">
        <f>LEFT(A64,3)</f>
        <v>INF</v>
      </c>
      <c r="L64" s="786" t="str">
        <f>RIGHT(A64,3)</f>
        <v>127</v>
      </c>
      <c r="M64" s="786" t="str">
        <f>B64</f>
        <v>NOTE</v>
      </c>
      <c r="N64" s="785" t="str">
        <f>IF(ISBLANK(D65),"",LEFT(D65,1500))</f>
        <v/>
      </c>
    </row>
    <row r="65" spans="1:14" s="773" customFormat="1" ht="45" customHeight="1" x14ac:dyDescent="0.2">
      <c r="A65" s="1161"/>
      <c r="B65" s="1161"/>
      <c r="D65" s="1572"/>
      <c r="E65" s="1573"/>
      <c r="F65" s="1574"/>
      <c r="G65" s="792" t="str">
        <f>IF(LEN(D65)&gt;1500,"Attenzione, è stato superato il numero massimo di 1500 caratteri","")</f>
        <v/>
      </c>
      <c r="K65" s="793" t="s">
        <v>547</v>
      </c>
      <c r="L65" s="785"/>
      <c r="M65" s="785"/>
      <c r="N65" s="785"/>
    </row>
    <row r="66" spans="1:14" s="868" customFormat="1" x14ac:dyDescent="0.25">
      <c r="A66" s="867"/>
      <c r="B66" s="867"/>
      <c r="F66" s="869"/>
      <c r="G66" s="870"/>
    </row>
  </sheetData>
  <sheetProtection algorithmName="SHA-512" hashValue="W90MkpYeCI1MYJB8+Etj6gCNcUksOEGnHijC9pKiRDqbZJiShszkNGoDiFhyXVrS+EBiVCEvkBJwrDLM+zLEAw==" saltValue="dFt9QOqEl+LOXE7uWyiYnQ==" spinCount="100000" sheet="1" formatColumns="0" selectLockedCells="1"/>
  <dataConsolidate/>
  <mergeCells count="4">
    <mergeCell ref="G2:G3"/>
    <mergeCell ref="G5:G6"/>
    <mergeCell ref="D62:F62"/>
    <mergeCell ref="D65:F65"/>
  </mergeCells>
  <dataValidations count="4">
    <dataValidation type="textLength" allowBlank="1" showInputMessage="1" showErrorMessage="1" error="Inserire massimo 1500 caratteri" sqref="D65:F65 D62:F62" xr:uid="{F68C0F5A-4613-4911-8A96-305F352C15CA}">
      <formula1>0</formula1>
      <formula2>1500</formula2>
    </dataValidation>
    <dataValidation type="list" allowBlank="1" showDropDown="1" showInputMessage="1" showErrorMessage="1" errorTitle="Errore di digitazione" error="Digitare 'S' o 'N' o lasciare in bianco" sqref="F53" xr:uid="{34309319-E04A-48DE-9FDC-6F73BF2C7208}">
      <formula1>"s,n,S,N"</formula1>
    </dataValidation>
    <dataValidation type="whole" operator="lessThan" allowBlank="1" showInputMessage="1" showErrorMessage="1" errorTitle="Errore di digitazione" error="Inserire solo numeri interi o lasciare vuoto." sqref="F51 F25 F19 F49 F23 F29 F45 F31 F39 F33 F35 F37 F41 F43 F55 F57" xr:uid="{46C66170-20F0-43C8-B5B5-46FC2DEBD29B}">
      <formula1>100000000000000</formula1>
    </dataValidation>
    <dataValidation type="date" allowBlank="1" showInputMessage="1" showErrorMessage="1" errorTitle="Errore di digitazione" error="Digitare una data non anteriore al 1 Gennaio dell'anno precedente alla di rilevazione (gg/mm/aaaa)" sqref="F15 F13 F17" xr:uid="{53CA4195-4211-4A76-9731-5C7BC9C796E0}">
      <formula1>44562</formula1>
      <formula2>TODAY()</formula2>
    </dataValidation>
  </dataValidations>
  <printOptions horizontalCentered="1"/>
  <pageMargins left="0.39370078740157483" right="0.39370078740157483" top="0.78740157480314965" bottom="0.39370078740157483" header="0.31496062992125984" footer="0.31496062992125984"/>
  <pageSetup paperSize="9" scale="5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N76"/>
  <sheetViews>
    <sheetView showGridLines="0" zoomScale="80" zoomScaleNormal="80" workbookViewId="0">
      <selection activeCell="F13" sqref="F13"/>
    </sheetView>
  </sheetViews>
  <sheetFormatPr defaultColWidth="12.7109375" defaultRowHeight="15" x14ac:dyDescent="0.25"/>
  <cols>
    <col min="1" max="1" width="10.7109375" style="821" customWidth="1"/>
    <col min="2" max="2" width="8.7109375" style="821" customWidth="1"/>
    <col min="3" max="3" width="2.7109375" style="798" customWidth="1"/>
    <col min="4" max="4" width="180.7109375" style="798" customWidth="1"/>
    <col min="5" max="5" width="2.7109375" style="798" customWidth="1"/>
    <col min="6" max="6" width="20.7109375" style="822" customWidth="1"/>
    <col min="7" max="7" width="50.7109375" style="797" customWidth="1"/>
    <col min="8" max="10" width="12.7109375" style="798" customWidth="1"/>
    <col min="11" max="13" width="12.7109375" style="798" hidden="1" customWidth="1"/>
    <col min="14" max="14" width="15.7109375" style="798" hidden="1" customWidth="1"/>
    <col min="15" max="16384" width="12.7109375" style="798"/>
  </cols>
  <sheetData>
    <row r="1" spans="1:14" s="1111" customFormat="1" ht="35.1" customHeight="1" thickBot="1" x14ac:dyDescent="0.25">
      <c r="A1" s="1107"/>
      <c r="B1" s="1107"/>
      <c r="C1" s="1108"/>
      <c r="D1" s="1108"/>
      <c r="E1" s="1109"/>
      <c r="F1" s="1109"/>
      <c r="G1" s="922" t="s">
        <v>874</v>
      </c>
      <c r="H1" s="1162" t="s">
        <v>473</v>
      </c>
    </row>
    <row r="2" spans="1:14" s="1111" customFormat="1" ht="35.1" customHeight="1" x14ac:dyDescent="0.4">
      <c r="A2" s="1112" t="s">
        <v>659</v>
      </c>
      <c r="B2" s="1112"/>
      <c r="C2" s="1113"/>
      <c r="D2" s="1113"/>
      <c r="E2" s="1113"/>
      <c r="F2" s="1114"/>
      <c r="G2" s="1561" t="str">
        <f>IF(AND(ISBLANK($F$23),SUM('t15(3)'!$W:$W)+SUM('t15(3)'!$R:$R)&gt;0),"Attenzione: è necessario compilare la domanda LEG428 !!!","OK")</f>
        <v>OK</v>
      </c>
    </row>
    <row r="3" spans="1:14" s="1118" customFormat="1" ht="35.1" customHeight="1" thickBot="1" x14ac:dyDescent="0.45">
      <c r="A3" s="1112" t="s">
        <v>660</v>
      </c>
      <c r="B3" s="1112"/>
      <c r="C3" s="1115"/>
      <c r="D3" s="1115"/>
      <c r="E3" s="1116"/>
      <c r="F3" s="1117"/>
      <c r="G3" s="1565"/>
      <c r="K3" s="1119"/>
    </row>
    <row r="4" spans="1:14" s="1126" customFormat="1" ht="35.1" customHeight="1" thickBot="1" x14ac:dyDescent="0.25">
      <c r="A4" s="1120"/>
      <c r="B4" s="1121"/>
      <c r="C4" s="1122"/>
      <c r="D4" s="1122"/>
      <c r="E4" s="1123"/>
      <c r="F4" s="1124"/>
      <c r="G4" s="1125" t="s">
        <v>661</v>
      </c>
    </row>
    <row r="5" spans="1:14" s="1126" customFormat="1" ht="35.1" customHeight="1" x14ac:dyDescent="0.2">
      <c r="A5" s="1164"/>
      <c r="B5" s="1164"/>
      <c r="D5" s="1165"/>
      <c r="E5" s="1165"/>
      <c r="F5" s="1166"/>
      <c r="G5" s="1570" t="str">
        <f>IF(AND(ISBLANK(F13),ISBLANK(F17)),"OK",IF(AND(OR(ISBLANK(F13),YEAR(F13)&gt;'t1'!L1-1),OR(ISBLANK(F17),YEAR(F17)&gt;'t1'!L1-1)),"OK","Attenzione: almeno una data di certificazione è antececedente l'anno "&amp;'t1'!L1&amp;", è necessario giustificare"))</f>
        <v>OK</v>
      </c>
    </row>
    <row r="6" spans="1:14" s="1126" customFormat="1" ht="35.1" customHeight="1" thickBot="1" x14ac:dyDescent="0.25">
      <c r="A6" s="1127" t="str">
        <f>'t1'!$A$1</f>
        <v>ENTI PUBBLICI NON ECONOMICI - anno 2023</v>
      </c>
      <c r="B6" s="1127"/>
      <c r="C6" s="1128"/>
      <c r="D6" s="1129"/>
      <c r="E6" s="1128"/>
      <c r="F6" s="1128"/>
      <c r="G6" s="1571"/>
    </row>
    <row r="7" spans="1:14" s="1126" customFormat="1" ht="35.1" customHeight="1" x14ac:dyDescent="0.2">
      <c r="A7" s="1130"/>
      <c r="B7" s="1130"/>
      <c r="D7" s="1131" t="s">
        <v>700</v>
      </c>
      <c r="N7" s="796" t="s">
        <v>663</v>
      </c>
    </row>
    <row r="8" spans="1:14" s="1126" customFormat="1" ht="15" customHeight="1" x14ac:dyDescent="0.2">
      <c r="A8" s="1130"/>
      <c r="B8" s="1130"/>
      <c r="D8" s="1132"/>
      <c r="N8" s="1133">
        <f>(COUNTIF(F:F,"&lt;&gt;"&amp;"")+COUNTIF(D72,"&lt;&gt;"&amp;"")+COUNTIF(D75,"&lt;&gt;"&amp;""))</f>
        <v>0</v>
      </c>
    </row>
    <row r="9" spans="1:14" s="1126" customFormat="1" ht="10.35" customHeight="1" x14ac:dyDescent="0.2">
      <c r="A9" s="1130"/>
      <c r="B9" s="1130"/>
      <c r="D9" s="1132"/>
      <c r="N9" s="796"/>
    </row>
    <row r="10" spans="1:14" ht="10.35" customHeight="1" x14ac:dyDescent="0.25">
      <c r="A10" s="1167"/>
      <c r="B10" s="1167"/>
      <c r="D10" s="1168"/>
      <c r="E10" s="1167"/>
      <c r="F10" s="806"/>
      <c r="G10" s="798"/>
    </row>
    <row r="11" spans="1:14" s="785" customFormat="1" ht="35.1" customHeight="1" x14ac:dyDescent="0.2">
      <c r="A11" s="1136" t="s">
        <v>664</v>
      </c>
      <c r="B11" s="1136"/>
      <c r="C11" s="1137"/>
      <c r="D11" s="1137" t="s">
        <v>665</v>
      </c>
      <c r="E11" s="1136"/>
      <c r="F11" s="1138"/>
      <c r="G11" s="799"/>
      <c r="K11" s="796" t="s">
        <v>666</v>
      </c>
      <c r="L11" s="796" t="s">
        <v>667</v>
      </c>
      <c r="M11" s="796" t="s">
        <v>668</v>
      </c>
      <c r="N11" s="796" t="s">
        <v>655</v>
      </c>
    </row>
    <row r="12" spans="1:14" s="785" customFormat="1" ht="4.3499999999999996" customHeight="1" x14ac:dyDescent="0.2">
      <c r="A12" s="800"/>
      <c r="B12" s="800"/>
      <c r="D12" s="800"/>
      <c r="E12" s="800"/>
      <c r="F12" s="801"/>
      <c r="G12" s="799"/>
      <c r="K12" s="802"/>
      <c r="L12" s="802"/>
      <c r="M12" s="802"/>
      <c r="N12" s="802"/>
    </row>
    <row r="13" spans="1:14" s="785" customFormat="1" ht="30" customHeight="1" x14ac:dyDescent="0.2">
      <c r="A13" s="834" t="s">
        <v>736</v>
      </c>
      <c r="B13" s="836" t="s">
        <v>670</v>
      </c>
      <c r="C13" s="891"/>
      <c r="D13" s="810" t="s">
        <v>905</v>
      </c>
      <c r="E13" s="837"/>
      <c r="F13" s="782"/>
      <c r="G13" s="1139" t="str">
        <f ca="1">IF(AND(ISBLANK(F13),C13="x",$N$8&gt;0),"Attenzione: domanda a risposta obbligatoria",IF(ISBLANK(F13),"",IF(AND(F13&gt;=DATE('t1'!$L$1-2,1,1),F13&lt;=TODAY()),"","Digitare una data non anteriore al 1 Gennaio "&amp;'t1'!$L$1-1&amp;" (gg/mm/aaaa)")))</f>
        <v/>
      </c>
      <c r="K13" s="786" t="str">
        <f>LEFT(A13,3)</f>
        <v>GEN</v>
      </c>
      <c r="L13" s="786" t="str">
        <f>RIGHT(A13,3)</f>
        <v>353</v>
      </c>
      <c r="M13" s="786" t="str">
        <f>B13</f>
        <v>DATE</v>
      </c>
      <c r="N13" s="1140" t="str">
        <f ca="1">IF(AND(F13&gt;=DATE('t1'!$L$1-1,1,1),F13&lt;=TODAY()),"'"&amp;DAY(F13)&amp;"/"&amp;MONTH(F13)&amp;"/"&amp;YEAR(F13),"")</f>
        <v/>
      </c>
    </row>
    <row r="14" spans="1:14" s="785" customFormat="1" ht="4.3499999999999996" customHeight="1" x14ac:dyDescent="0.2">
      <c r="A14" s="777"/>
      <c r="B14" s="777"/>
      <c r="C14" s="891"/>
      <c r="D14" s="866"/>
      <c r="E14" s="774"/>
      <c r="F14" s="780"/>
      <c r="G14" s="781"/>
    </row>
    <row r="15" spans="1:14" s="785" customFormat="1" ht="30" customHeight="1" x14ac:dyDescent="0.2">
      <c r="A15" s="834" t="s">
        <v>737</v>
      </c>
      <c r="B15" s="836" t="s">
        <v>670</v>
      </c>
      <c r="C15" s="891"/>
      <c r="D15" s="810" t="s">
        <v>906</v>
      </c>
      <c r="E15" s="837"/>
      <c r="F15" s="782"/>
      <c r="G15" s="1139" t="str">
        <f ca="1">IF(AND(ISBLANK(F15),C15="x",$N$8&gt;0),"Attenzione: domanda a risposta obbligatoria",IF(ISBLANK(F15),"",IF(AND(F15&gt;=DATE('t1'!$L$1-2,1,1),F15&lt;=TODAY()),"","Digitare una data non anteriore al 1 Gennaio "&amp;'t1'!$L$1-1&amp;" (gg/mm/aaaa)")))</f>
        <v/>
      </c>
      <c r="K15" s="786" t="str">
        <f>LEFT(A15,3)</f>
        <v>GEN</v>
      </c>
      <c r="L15" s="786" t="str">
        <f>RIGHT(A15,3)</f>
        <v>354</v>
      </c>
      <c r="M15" s="786" t="str">
        <f>B15</f>
        <v>DATE</v>
      </c>
      <c r="N15" s="1140" t="str">
        <f ca="1">IF(AND(F15&gt;=DATE('t1'!$L$1-1,1,1),F15&lt;=TODAY()),"'"&amp;DAY(F15)&amp;"/"&amp;MONTH(F15)&amp;"/"&amp;YEAR(F15),"")</f>
        <v/>
      </c>
    </row>
    <row r="16" spans="1:14" s="785" customFormat="1" ht="4.3499999999999996" customHeight="1" x14ac:dyDescent="0.2">
      <c r="A16" s="777"/>
      <c r="B16" s="777"/>
      <c r="C16" s="891"/>
      <c r="D16" s="810"/>
      <c r="E16" s="774"/>
      <c r="F16" s="780"/>
      <c r="G16" s="781"/>
    </row>
    <row r="17" spans="1:14" s="785" customFormat="1" ht="30" customHeight="1" x14ac:dyDescent="0.2">
      <c r="A17" s="834" t="s">
        <v>738</v>
      </c>
      <c r="B17" s="836" t="s">
        <v>670</v>
      </c>
      <c r="C17" s="891"/>
      <c r="D17" s="810" t="s">
        <v>907</v>
      </c>
      <c r="E17" s="838"/>
      <c r="F17" s="782"/>
      <c r="G17" s="1139" t="str">
        <f ca="1">IF(AND(ISBLANK(F17),C17="x",$N$8&gt;0),"Attenzione: domanda a risposta obbligatoria",IF(ISBLANK(F17),"",IF(AND(F17&gt;=DATE('t1'!$L$1-2,1,1),F17&lt;=TODAY()),"","Digitare una data non anteriore al 1 Gennaio "&amp;'t1'!$L$1-1&amp;" (gg/mm/aaaa)")))</f>
        <v/>
      </c>
      <c r="K17" s="786" t="str">
        <f>LEFT(A17,3)</f>
        <v>GEN</v>
      </c>
      <c r="L17" s="786" t="str">
        <f>RIGHT(A17,3)</f>
        <v>355</v>
      </c>
      <c r="M17" s="786" t="str">
        <f>B17</f>
        <v>DATE</v>
      </c>
      <c r="N17" s="1140" t="str">
        <f ca="1">IF(AND(F17&gt;=DATE('t1'!$L$1-1,1,1),F17&lt;=TODAY()),"'"&amp;DAY(F17)&amp;"/"&amp;MONTH(F17)&amp;"/"&amp;YEAR(F17),"")</f>
        <v/>
      </c>
    </row>
    <row r="18" spans="1:14" s="785" customFormat="1" ht="4.3499999999999996" customHeight="1" x14ac:dyDescent="0.2">
      <c r="A18" s="777"/>
      <c r="B18" s="777"/>
      <c r="C18" s="891"/>
      <c r="D18" s="774"/>
      <c r="E18" s="774"/>
      <c r="F18" s="780"/>
      <c r="G18" s="781"/>
    </row>
    <row r="19" spans="1:14" s="785" customFormat="1" ht="30" customHeight="1" x14ac:dyDescent="0.2">
      <c r="A19" s="839" t="s">
        <v>671</v>
      </c>
      <c r="B19" s="840" t="s">
        <v>672</v>
      </c>
      <c r="C19" s="891" t="s">
        <v>932</v>
      </c>
      <c r="D19" s="835" t="s">
        <v>673</v>
      </c>
      <c r="E19" s="837"/>
      <c r="F19" s="841"/>
      <c r="G19" s="1139" t="str">
        <f>IF(AND(ISBLANK(F19),C19="x",$N$8&gt;0),"Attenzione: domanda a risposta obbligatoria",IF(AND(SUM(F13:F17)&gt;0,G5="ok",F19&gt;0),"Attenzione, dato incoerente",IF(ISBLANK(F19),"",IF(ISNUMBER(F19),IF(F19-INT(F19)=0,"","  Errore ! Inserire un numero intero senza decimali"),"  Errore ! Inserire un numero intero senza decimali"))))</f>
        <v/>
      </c>
      <c r="K19" s="786" t="str">
        <f>LEFT(A19,3)</f>
        <v>GEN</v>
      </c>
      <c r="L19" s="786" t="str">
        <f>RIGHT(A19,3)</f>
        <v>195</v>
      </c>
      <c r="M19" s="786" t="str">
        <f>B19</f>
        <v>INT</v>
      </c>
      <c r="N19" s="786" t="str">
        <f>IF(ISNUMBER(F19),ROUND(F19,0),"")</f>
        <v/>
      </c>
    </row>
    <row r="20" spans="1:14" s="785" customFormat="1" ht="4.3499999999999996" customHeight="1" x14ac:dyDescent="0.2">
      <c r="A20" s="784"/>
      <c r="B20" s="784"/>
      <c r="C20" s="891"/>
      <c r="D20" s="774"/>
      <c r="E20" s="774"/>
      <c r="F20" s="775"/>
      <c r="G20" s="781"/>
    </row>
    <row r="21" spans="1:14" s="785" customFormat="1" ht="30" customHeight="1" x14ac:dyDescent="0.2">
      <c r="A21" s="1136" t="s">
        <v>674</v>
      </c>
      <c r="B21" s="1136"/>
      <c r="C21" s="1141"/>
      <c r="D21" s="1137" t="s">
        <v>769</v>
      </c>
      <c r="E21" s="1136"/>
      <c r="F21" s="1138"/>
      <c r="G21" s="781"/>
    </row>
    <row r="22" spans="1:14" s="837" customFormat="1" ht="4.3499999999999996" customHeight="1" x14ac:dyDescent="0.2">
      <c r="A22" s="848"/>
      <c r="B22" s="848"/>
      <c r="C22" s="890"/>
      <c r="D22" s="848"/>
      <c r="E22" s="848"/>
      <c r="F22" s="849"/>
      <c r="G22" s="850"/>
      <c r="I22" s="1142"/>
      <c r="J22" s="851"/>
    </row>
    <row r="23" spans="1:14" s="785" customFormat="1" ht="30" customHeight="1" x14ac:dyDescent="0.2">
      <c r="A23" s="834" t="s">
        <v>878</v>
      </c>
      <c r="B23" s="836" t="s">
        <v>672</v>
      </c>
      <c r="C23" s="891" t="s">
        <v>932</v>
      </c>
      <c r="D23" s="835" t="s">
        <v>879</v>
      </c>
      <c r="F23" s="1143"/>
      <c r="G23" s="792" t="str">
        <f>IF(AND(ISBLANK(F23),C23="x",$N$8&gt;0),"Attenzione: domanda a risposta obbligatoria",IF(ISBLANK(F23),"",IF(ISNUMBER(F23),IF(F23-INT(F23)=0,"","  Errore ! Inserire un numero intero senza decimali"),"  Errore ! Inserire un numero intero senza decimali")))</f>
        <v/>
      </c>
      <c r="K23" s="786" t="str">
        <f>LEFT(A23,3)</f>
        <v>LEG</v>
      </c>
      <c r="L23" s="786" t="str">
        <f>RIGHT(A23,3)</f>
        <v>428</v>
      </c>
      <c r="M23" s="786" t="str">
        <f>B23</f>
        <v>INT</v>
      </c>
      <c r="N23" s="786" t="str">
        <f>IF(ISNUMBER(F23),ROUND(F23,0),"")</f>
        <v/>
      </c>
    </row>
    <row r="24" spans="1:14" s="785" customFormat="1" ht="4.3499999999999996" customHeight="1" x14ac:dyDescent="0.2">
      <c r="A24" s="774"/>
      <c r="B24" s="852"/>
      <c r="C24" s="891"/>
      <c r="D24" s="852"/>
      <c r="E24" s="774"/>
      <c r="F24" s="775"/>
      <c r="G24" s="1163"/>
    </row>
    <row r="25" spans="1:14" s="785" customFormat="1" ht="30" customHeight="1" x14ac:dyDescent="0.2">
      <c r="A25" s="809" t="s">
        <v>841</v>
      </c>
      <c r="B25" s="847" t="s">
        <v>672</v>
      </c>
      <c r="C25" s="891"/>
      <c r="D25" s="877" t="s">
        <v>933</v>
      </c>
      <c r="E25" s="1151"/>
      <c r="F25" s="1152"/>
      <c r="G25" s="792" t="str">
        <f>IF(AND(ISBLANK(F25),C25="x",$N$8&gt;0),"Attenzione: domanda a risposta obbligatoria",IF(ISBLANK(F25),"",IF(ISNUMBER(F25),IF(F25-INT(F25)=0,"","  Errore ! Inserire un numero intero senza decimali"),"  Errore ! Inserire un numero intero senza decimali")))</f>
        <v/>
      </c>
      <c r="K25" s="786" t="str">
        <f>LEFT(A25,3)</f>
        <v>LEG</v>
      </c>
      <c r="L25" s="786" t="str">
        <f>RIGHT(A25,3)</f>
        <v>398</v>
      </c>
      <c r="M25" s="786" t="str">
        <f>B25</f>
        <v>INT</v>
      </c>
      <c r="N25" s="786" t="str">
        <f>IF(ISNUMBER(F25),ROUND(F25,0),"")</f>
        <v/>
      </c>
    </row>
    <row r="26" spans="1:14" s="785" customFormat="1" ht="4.3499999999999996" customHeight="1" x14ac:dyDescent="0.2">
      <c r="A26" s="777"/>
      <c r="B26" s="777"/>
      <c r="C26" s="891"/>
      <c r="D26" s="774"/>
      <c r="E26" s="774"/>
      <c r="F26" s="780"/>
      <c r="G26" s="781"/>
    </row>
    <row r="27" spans="1:14" s="785" customFormat="1" ht="30" customHeight="1" x14ac:dyDescent="0.2">
      <c r="A27" s="1136" t="s">
        <v>675</v>
      </c>
      <c r="B27" s="1136"/>
      <c r="C27" s="1141"/>
      <c r="D27" s="1137" t="s">
        <v>676</v>
      </c>
      <c r="E27" s="1136"/>
      <c r="F27" s="1138"/>
      <c r="G27" s="807"/>
    </row>
    <row r="28" spans="1:14" s="785" customFormat="1" ht="4.3499999999999996" customHeight="1" x14ac:dyDescent="0.2">
      <c r="A28" s="800"/>
      <c r="B28" s="800"/>
      <c r="C28" s="891"/>
      <c r="D28" s="800"/>
      <c r="E28" s="800"/>
      <c r="F28" s="801"/>
      <c r="G28" s="807"/>
    </row>
    <row r="29" spans="1:14" s="785" customFormat="1" ht="30" customHeight="1" x14ac:dyDescent="0.2">
      <c r="A29" s="809" t="s">
        <v>977</v>
      </c>
      <c r="B29" s="847" t="s">
        <v>672</v>
      </c>
      <c r="C29" s="899"/>
      <c r="D29" s="810" t="s">
        <v>968</v>
      </c>
      <c r="F29" s="1143"/>
      <c r="G29" s="792" t="str">
        <f>IF(AND(ISBLANK(F29),C29="x",$N$8&gt;0),"Attenzione: domanda a risposta obbligatoria",IF(ISBLANK(F29),"",IF(ISNUMBER(F29),IF(F29-INT(F29)=0,"","  Errore ! Inserire un numero intero senza decimali"),"  Errore ! Inserire un numero intero senza decimali")))</f>
        <v/>
      </c>
      <c r="K29" s="786" t="str">
        <f>LEFT(A29,3)</f>
        <v>ORG</v>
      </c>
      <c r="L29" s="786" t="str">
        <f>RIGHT(A29,3)</f>
        <v>443</v>
      </c>
      <c r="M29" s="786" t="str">
        <f>B29</f>
        <v>INT</v>
      </c>
      <c r="N29" s="786" t="str">
        <f>IF(ISNUMBER(F29),ROUND(F29,0),"")</f>
        <v/>
      </c>
    </row>
    <row r="30" spans="1:14" s="785" customFormat="1" ht="4.3499999999999996" customHeight="1" x14ac:dyDescent="0.2">
      <c r="A30" s="812"/>
      <c r="B30" s="812"/>
      <c r="C30" s="891"/>
      <c r="D30" s="866"/>
      <c r="E30" s="800"/>
      <c r="F30" s="801"/>
      <c r="G30" s="781"/>
      <c r="I30" s="1155"/>
      <c r="J30" s="814"/>
    </row>
    <row r="31" spans="1:14" s="785" customFormat="1" ht="30" customHeight="1" x14ac:dyDescent="0.2">
      <c r="A31" s="809" t="s">
        <v>701</v>
      </c>
      <c r="B31" s="847" t="s">
        <v>672</v>
      </c>
      <c r="C31" s="891"/>
      <c r="D31" s="810" t="s">
        <v>821</v>
      </c>
      <c r="F31" s="1143"/>
      <c r="G31" s="792" t="str">
        <f>IF(AND(ISBLANK(F31),C31="x",$N$8&gt;0),"Attenzione: domanda a risposta obbligatoria",IF(ISBLANK(F31),"",IF(ISNUMBER(F31),IF(F31-INT(F31)=0,"","  Errore ! Inserire un numero intero senza decimali"),"  Errore ! Inserire un numero intero senza decimali")))</f>
        <v/>
      </c>
      <c r="K31" s="786" t="str">
        <f>LEFT(A31,3)</f>
        <v>ORG</v>
      </c>
      <c r="L31" s="786" t="str">
        <f>RIGHT(A31,3)</f>
        <v>224</v>
      </c>
      <c r="M31" s="786" t="str">
        <f>B31</f>
        <v>INT</v>
      </c>
      <c r="N31" s="786" t="str">
        <f>IF(ISNUMBER(F31),ROUND(F31,0),"")</f>
        <v/>
      </c>
    </row>
    <row r="32" spans="1:14" s="785" customFormat="1" ht="4.3499999999999996" customHeight="1" x14ac:dyDescent="0.2">
      <c r="A32" s="812"/>
      <c r="B32" s="812"/>
      <c r="C32" s="891"/>
      <c r="D32" s="866"/>
      <c r="E32" s="800"/>
      <c r="F32" s="801"/>
      <c r="G32" s="781"/>
      <c r="I32" s="1155"/>
      <c r="J32" s="814"/>
    </row>
    <row r="33" spans="1:14" s="785" customFormat="1" ht="30" customHeight="1" x14ac:dyDescent="0.2">
      <c r="A33" s="809" t="s">
        <v>979</v>
      </c>
      <c r="B33" s="847" t="s">
        <v>672</v>
      </c>
      <c r="C33" s="899"/>
      <c r="D33" s="810" t="s">
        <v>970</v>
      </c>
      <c r="F33" s="1143"/>
      <c r="G33" s="792" t="str">
        <f>IF(AND(ISBLANK(F33),C33="x",$N$8&gt;0),"Attenzione: domanda a risposta obbligatoria",IF(ISBLANK(F33),"",IF(ISNUMBER(F33),IF(F33-INT(F33)=0,"","  Errore ! Inserire un numero intero senza decimali"),"  Errore ! Inserire un numero intero senza decimali")))</f>
        <v/>
      </c>
      <c r="K33" s="786" t="str">
        <f>LEFT(A33,3)</f>
        <v>ORG</v>
      </c>
      <c r="L33" s="786" t="str">
        <f>RIGHT(A33,3)</f>
        <v>445</v>
      </c>
      <c r="M33" s="786" t="str">
        <f>B33</f>
        <v>INT</v>
      </c>
      <c r="N33" s="786" t="str">
        <f>IF(ISNUMBER(F33),ROUND(F33,0),"")</f>
        <v/>
      </c>
    </row>
    <row r="34" spans="1:14" s="785" customFormat="1" ht="4.3499999999999996" customHeight="1" x14ac:dyDescent="0.2">
      <c r="A34" s="812"/>
      <c r="B34" s="812"/>
      <c r="C34" s="891"/>
      <c r="D34" s="866"/>
      <c r="E34" s="800"/>
      <c r="F34" s="801"/>
      <c r="G34" s="781"/>
      <c r="I34" s="1155"/>
      <c r="J34" s="814"/>
    </row>
    <row r="35" spans="1:14" s="785" customFormat="1" ht="30" customHeight="1" x14ac:dyDescent="0.2">
      <c r="A35" s="809" t="s">
        <v>980</v>
      </c>
      <c r="B35" s="847" t="s">
        <v>672</v>
      </c>
      <c r="C35" s="899"/>
      <c r="D35" s="810" t="s">
        <v>971</v>
      </c>
      <c r="F35" s="1143"/>
      <c r="G35" s="792" t="str">
        <f>IF(AND(ISBLANK(F35),C35="x",$N$8&gt;0),"Attenzione: domanda a risposta obbligatoria",IF(ISBLANK(F35),"",IF(ISNUMBER(F35),IF(F35-INT(F35)=0,"","  Errore ! Inserire un numero intero senza decimali"),"  Errore ! Inserire un numero intero senza decimali")))</f>
        <v/>
      </c>
      <c r="K35" s="786" t="str">
        <f>LEFT(A35,3)</f>
        <v>ORG</v>
      </c>
      <c r="L35" s="786" t="str">
        <f>RIGHT(A35,3)</f>
        <v>446</v>
      </c>
      <c r="M35" s="786" t="str">
        <f>B35</f>
        <v>INT</v>
      </c>
      <c r="N35" s="786" t="str">
        <f>IF(ISNUMBER(F35),ROUND(F35,0),"")</f>
        <v/>
      </c>
    </row>
    <row r="36" spans="1:14" s="785" customFormat="1" ht="4.3499999999999996" customHeight="1" x14ac:dyDescent="0.2">
      <c r="A36" s="812"/>
      <c r="B36" s="812"/>
      <c r="C36" s="891"/>
      <c r="D36" s="866"/>
      <c r="E36" s="800"/>
      <c r="F36" s="801"/>
      <c r="G36" s="781"/>
      <c r="I36" s="1155"/>
      <c r="J36" s="814"/>
    </row>
    <row r="37" spans="1:14" s="785" customFormat="1" ht="30" customHeight="1" x14ac:dyDescent="0.2">
      <c r="A37" s="809" t="s">
        <v>978</v>
      </c>
      <c r="B37" s="847" t="s">
        <v>672</v>
      </c>
      <c r="C37" s="899"/>
      <c r="D37" s="810" t="s">
        <v>969</v>
      </c>
      <c r="F37" s="1143"/>
      <c r="G37" s="792" t="str">
        <f>IF(AND(ISBLANK(F37),C37="x",$N$8&gt;0),"Attenzione: domanda a risposta obbligatoria",IF(ISBLANK(F37),"",IF(ISNUMBER(F37),IF(F37-INT(F37)=0,"","  Errore ! Inserire un numero intero senza decimali"),"  Errore ! Inserire un numero intero senza decimali")))</f>
        <v/>
      </c>
      <c r="K37" s="786" t="str">
        <f>LEFT(A37,3)</f>
        <v>ORG</v>
      </c>
      <c r="L37" s="786" t="str">
        <f>RIGHT(A37,3)</f>
        <v>444</v>
      </c>
      <c r="M37" s="786" t="str">
        <f>B37</f>
        <v>INT</v>
      </c>
      <c r="N37" s="786" t="str">
        <f>IF(ISNUMBER(F37),ROUND(F37,0),"")</f>
        <v/>
      </c>
    </row>
    <row r="38" spans="1:14" s="785" customFormat="1" ht="4.3499999999999996" customHeight="1" x14ac:dyDescent="0.2">
      <c r="A38" s="809"/>
      <c r="B38" s="809"/>
      <c r="C38" s="891"/>
      <c r="D38" s="866"/>
      <c r="E38" s="800"/>
      <c r="F38" s="801"/>
      <c r="G38" s="789"/>
      <c r="I38" s="1155"/>
      <c r="J38" s="814"/>
    </row>
    <row r="39" spans="1:14" s="785" customFormat="1" ht="30" customHeight="1" x14ac:dyDescent="0.2">
      <c r="A39" s="809" t="s">
        <v>702</v>
      </c>
      <c r="B39" s="847" t="s">
        <v>672</v>
      </c>
      <c r="C39" s="891"/>
      <c r="D39" s="810" t="s">
        <v>822</v>
      </c>
      <c r="F39" s="1143"/>
      <c r="G39" s="792" t="str">
        <f>IF(AND(ISBLANK(F39),C39="x",$N$8&gt;0),"Attenzione: domanda a risposta obbligatoria",IF(ISBLANK(F39),"",IF(ISNUMBER(F39),IF(F39-INT(F39)=0,"","  Errore ! Inserire un numero intero senza decimali"),"  Errore ! Inserire un numero intero senza decimali")))</f>
        <v/>
      </c>
      <c r="K39" s="786" t="str">
        <f>LEFT(A39,3)</f>
        <v>ORG</v>
      </c>
      <c r="L39" s="786" t="str">
        <f>RIGHT(A39,3)</f>
        <v>225</v>
      </c>
      <c r="M39" s="786" t="str">
        <f>B39</f>
        <v>INT</v>
      </c>
      <c r="N39" s="786" t="str">
        <f>IF(ISNUMBER(F39),ROUND(F39,0),"")</f>
        <v/>
      </c>
    </row>
    <row r="40" spans="1:14" s="785" customFormat="1" ht="4.3499999999999996" customHeight="1" x14ac:dyDescent="0.2">
      <c r="A40" s="809"/>
      <c r="B40" s="809"/>
      <c r="C40" s="891"/>
      <c r="D40" s="866"/>
      <c r="E40" s="800"/>
      <c r="F40" s="801"/>
      <c r="G40" s="789"/>
      <c r="I40" s="1155"/>
      <c r="J40" s="814"/>
    </row>
    <row r="41" spans="1:14" s="785" customFormat="1" ht="30" customHeight="1" x14ac:dyDescent="0.2">
      <c r="A41" s="809" t="s">
        <v>981</v>
      </c>
      <c r="B41" s="847" t="s">
        <v>672</v>
      </c>
      <c r="C41" s="899"/>
      <c r="D41" s="810" t="s">
        <v>972</v>
      </c>
      <c r="F41" s="1143"/>
      <c r="G41" s="792" t="str">
        <f>IF(AND(ISBLANK(F41),C41="x",$N$8&gt;0),"Attenzione: domanda a risposta obbligatoria",IF(ISBLANK(F41),"",IF(ISNUMBER(F41),IF(F41-INT(F41)=0,"","  Errore ! Inserire un numero intero senza decimali"),"  Errore ! Inserire un numero intero senza decimali")))</f>
        <v/>
      </c>
      <c r="K41" s="786" t="str">
        <f>LEFT(A41,3)</f>
        <v>ORG</v>
      </c>
      <c r="L41" s="786" t="str">
        <f>RIGHT(A41,3)</f>
        <v>447</v>
      </c>
      <c r="M41" s="786" t="str">
        <f>B41</f>
        <v>INT</v>
      </c>
      <c r="N41" s="786" t="str">
        <f>IF(ISNUMBER(F41),ROUND(F41,0),"")</f>
        <v/>
      </c>
    </row>
    <row r="42" spans="1:14" s="785" customFormat="1" ht="4.3499999999999996" customHeight="1" x14ac:dyDescent="0.2">
      <c r="A42" s="809"/>
      <c r="B42" s="809"/>
      <c r="C42" s="891"/>
      <c r="D42" s="866"/>
      <c r="E42" s="800"/>
      <c r="F42" s="801"/>
      <c r="G42" s="789"/>
      <c r="I42" s="1155"/>
      <c r="J42" s="814"/>
    </row>
    <row r="43" spans="1:14" s="785" customFormat="1" ht="30" customHeight="1" x14ac:dyDescent="0.2">
      <c r="A43" s="809" t="s">
        <v>703</v>
      </c>
      <c r="B43" s="847" t="s">
        <v>672</v>
      </c>
      <c r="C43" s="891"/>
      <c r="D43" s="810" t="s">
        <v>823</v>
      </c>
      <c r="F43" s="1143"/>
      <c r="G43" s="792" t="str">
        <f>IF(AND(ISBLANK(F43),C43="x",$N$8&gt;0),"Attenzione: domanda a risposta obbligatoria",IF(ISBLANK(F43),"",IF(ISNUMBER(F43),IF(F43-INT(F43)=0,"","  Errore ! Inserire un numero intero senza decimali"),"  Errore ! Inserire un numero intero senza decimali")))</f>
        <v/>
      </c>
      <c r="K43" s="786" t="str">
        <f>LEFT(A43,3)</f>
        <v>ORG</v>
      </c>
      <c r="L43" s="786" t="str">
        <f>RIGHT(A43,3)</f>
        <v>165</v>
      </c>
      <c r="M43" s="786" t="str">
        <f>B43</f>
        <v>INT</v>
      </c>
      <c r="N43" s="786" t="str">
        <f>IF(ISNUMBER(F43),ROUND(F43,0),"")</f>
        <v/>
      </c>
    </row>
    <row r="44" spans="1:14" s="785" customFormat="1" ht="4.3499999999999996" customHeight="1" x14ac:dyDescent="0.2">
      <c r="A44" s="809"/>
      <c r="B44" s="809"/>
      <c r="C44" s="891"/>
      <c r="D44" s="866"/>
      <c r="E44" s="800"/>
      <c r="F44" s="801"/>
      <c r="G44" s="789"/>
      <c r="I44" s="1155"/>
      <c r="J44" s="814"/>
    </row>
    <row r="45" spans="1:14" s="785" customFormat="1" ht="30" customHeight="1" x14ac:dyDescent="0.2">
      <c r="A45" s="809" t="s">
        <v>983</v>
      </c>
      <c r="B45" s="847" t="s">
        <v>672</v>
      </c>
      <c r="C45" s="899"/>
      <c r="D45" s="810" t="s">
        <v>974</v>
      </c>
      <c r="F45" s="1143"/>
      <c r="G45" s="792" t="str">
        <f>IF(AND(ISBLANK(F45),C45="x",$N$8&gt;0),"Attenzione: domanda a risposta obbligatoria",IF(ISBLANK(F45),"",IF(ISNUMBER(F45),IF(F45-INT(F45)=0,"","  Errore ! Inserire un numero intero senza decimali"),"  Errore ! Inserire un numero intero senza decimali")))</f>
        <v/>
      </c>
      <c r="K45" s="786" t="str">
        <f>LEFT(A45,3)</f>
        <v>ORG</v>
      </c>
      <c r="L45" s="786" t="str">
        <f>RIGHT(A45,3)</f>
        <v>449</v>
      </c>
      <c r="M45" s="786" t="str">
        <f>B45</f>
        <v>INT</v>
      </c>
      <c r="N45" s="786" t="str">
        <f>IF(ISNUMBER(F45),ROUND(F45,0),"")</f>
        <v/>
      </c>
    </row>
    <row r="46" spans="1:14" s="785" customFormat="1" ht="4.3499999999999996" customHeight="1" x14ac:dyDescent="0.2">
      <c r="A46" s="809"/>
      <c r="B46" s="809"/>
      <c r="C46" s="891"/>
      <c r="D46" s="866"/>
      <c r="E46" s="800"/>
      <c r="F46" s="801"/>
      <c r="G46" s="789"/>
      <c r="I46" s="1155"/>
      <c r="J46" s="814"/>
    </row>
    <row r="47" spans="1:14" s="785" customFormat="1" ht="30" customHeight="1" x14ac:dyDescent="0.2">
      <c r="A47" s="809" t="s">
        <v>984</v>
      </c>
      <c r="B47" s="847" t="s">
        <v>672</v>
      </c>
      <c r="C47" s="899"/>
      <c r="D47" s="810" t="s">
        <v>975</v>
      </c>
      <c r="F47" s="1143"/>
      <c r="G47" s="792" t="str">
        <f>IF(AND(ISBLANK(F47),C47="x",$N$8&gt;0),"Attenzione: domanda a risposta obbligatoria",IF(ISBLANK(F47),"",IF(ISNUMBER(F47),IF(F47-INT(F47)=0,"","  Errore ! Inserire un numero intero senza decimali"),"  Errore ! Inserire un numero intero senza decimali")))</f>
        <v/>
      </c>
      <c r="K47" s="786" t="str">
        <f>LEFT(A47,3)</f>
        <v>ORG</v>
      </c>
      <c r="L47" s="786" t="str">
        <f>RIGHT(A47,3)</f>
        <v>450</v>
      </c>
      <c r="M47" s="786" t="str">
        <f>B47</f>
        <v>INT</v>
      </c>
      <c r="N47" s="786" t="str">
        <f>IF(ISNUMBER(F47),ROUND(F47,0),"")</f>
        <v/>
      </c>
    </row>
    <row r="48" spans="1:14" s="785" customFormat="1" ht="4.3499999999999996" customHeight="1" x14ac:dyDescent="0.2">
      <c r="A48" s="809"/>
      <c r="B48" s="809"/>
      <c r="C48" s="891"/>
      <c r="D48" s="866"/>
      <c r="E48" s="800"/>
      <c r="F48" s="801"/>
      <c r="G48" s="789"/>
      <c r="I48" s="1155"/>
      <c r="J48" s="814"/>
    </row>
    <row r="49" spans="1:14" s="785" customFormat="1" ht="30" customHeight="1" x14ac:dyDescent="0.2">
      <c r="A49" s="809" t="s">
        <v>982</v>
      </c>
      <c r="B49" s="847" t="s">
        <v>672</v>
      </c>
      <c r="C49" s="899"/>
      <c r="D49" s="810" t="s">
        <v>973</v>
      </c>
      <c r="F49" s="1143"/>
      <c r="G49" s="792" t="str">
        <f>IF(AND(ISBLANK(F49),C49="x",$N$8&gt;0),"Attenzione: domanda a risposta obbligatoria",IF(ISBLANK(F49),"",IF(ISNUMBER(F49),IF(F49-INT(F49)=0,"","  Errore ! Inserire un numero intero senza decimali"),"  Errore ! Inserire un numero intero senza decimali")))</f>
        <v/>
      </c>
      <c r="K49" s="786" t="str">
        <f>LEFT(A49,3)</f>
        <v>ORG</v>
      </c>
      <c r="L49" s="786" t="str">
        <f>RIGHT(A49,3)</f>
        <v>448</v>
      </c>
      <c r="M49" s="786" t="str">
        <f>B49</f>
        <v>INT</v>
      </c>
      <c r="N49" s="786" t="str">
        <f>IF(ISNUMBER(F49),ROUND(F49,0),"")</f>
        <v/>
      </c>
    </row>
    <row r="50" spans="1:14" s="785" customFormat="1" ht="4.3499999999999996" customHeight="1" x14ac:dyDescent="0.2">
      <c r="A50" s="809"/>
      <c r="B50" s="809"/>
      <c r="C50" s="891"/>
      <c r="D50" s="866"/>
      <c r="E50" s="800"/>
      <c r="F50" s="801"/>
      <c r="G50" s="789"/>
      <c r="I50" s="1155"/>
      <c r="J50" s="814"/>
    </row>
    <row r="51" spans="1:14" s="785" customFormat="1" ht="30" customHeight="1" x14ac:dyDescent="0.2">
      <c r="A51" s="809" t="s">
        <v>704</v>
      </c>
      <c r="B51" s="847" t="s">
        <v>672</v>
      </c>
      <c r="C51" s="891"/>
      <c r="D51" s="810" t="s">
        <v>824</v>
      </c>
      <c r="F51" s="1143"/>
      <c r="G51" s="792" t="str">
        <f>IF(AND(ISBLANK(F51),C51="x",$N$8&gt;0),"Attenzione: domanda a risposta obbligatoria",IF(ISBLANK(F51),"",IF(ISNUMBER(F51),IF(F51-INT(F51)=0,"","  Errore ! Inserire un numero intero senza decimali"),"  Errore ! Inserire un numero intero senza decimali")))</f>
        <v/>
      </c>
      <c r="K51" s="786" t="str">
        <f>LEFT(A51,3)</f>
        <v>ORG</v>
      </c>
      <c r="L51" s="786" t="str">
        <f>RIGHT(A51,3)</f>
        <v>187</v>
      </c>
      <c r="M51" s="786" t="str">
        <f>B51</f>
        <v>INT</v>
      </c>
      <c r="N51" s="786" t="str">
        <f>IF(ISNUMBER(F51),ROUND(F51,0),"")</f>
        <v/>
      </c>
    </row>
    <row r="52" spans="1:14" s="785" customFormat="1" ht="4.3499999999999996" customHeight="1" x14ac:dyDescent="0.2">
      <c r="A52" s="809"/>
      <c r="B52" s="809"/>
      <c r="C52" s="891"/>
      <c r="D52" s="866"/>
      <c r="E52" s="800"/>
      <c r="F52" s="801"/>
      <c r="G52" s="789"/>
      <c r="I52" s="1155"/>
      <c r="J52" s="814"/>
    </row>
    <row r="53" spans="1:14" s="785" customFormat="1" ht="30" customHeight="1" x14ac:dyDescent="0.2">
      <c r="A53" s="809" t="s">
        <v>688</v>
      </c>
      <c r="B53" s="847" t="s">
        <v>672</v>
      </c>
      <c r="C53" s="891"/>
      <c r="D53" s="810" t="s">
        <v>689</v>
      </c>
      <c r="F53" s="1143"/>
      <c r="G53" s="792" t="str">
        <f>IF(AND(ISBLANK(F53),C53="x",$N$8&gt;0),"Attenzione: domanda a risposta obbligatoria",IF(ISBLANK(F53),"",IF(ISNUMBER(F53),IF(F53-INT(F53)=0,"","  Errore ! Inserire un numero intero senza decimali"),"  Errore ! Inserire un numero intero senza decimali")))</f>
        <v/>
      </c>
      <c r="K53" s="786" t="str">
        <f>LEFT(A53,3)</f>
        <v>ORG</v>
      </c>
      <c r="L53" s="786" t="str">
        <f>RIGHT(A53,3)</f>
        <v>271</v>
      </c>
      <c r="M53" s="786" t="str">
        <f>B53</f>
        <v>INT</v>
      </c>
      <c r="N53" s="786" t="str">
        <f>IF(ISNUMBER(F53),ROUND(F53,0),"")</f>
        <v/>
      </c>
    </row>
    <row r="54" spans="1:14" s="785" customFormat="1" ht="4.3499999999999996" customHeight="1" x14ac:dyDescent="0.2">
      <c r="A54" s="809"/>
      <c r="B54" s="809"/>
      <c r="C54" s="891"/>
      <c r="D54" s="866"/>
      <c r="E54" s="800"/>
      <c r="F54" s="801"/>
      <c r="G54" s="789"/>
      <c r="I54" s="1155"/>
      <c r="J54" s="814"/>
    </row>
    <row r="55" spans="1:14" s="785" customFormat="1" ht="30" customHeight="1" x14ac:dyDescent="0.2">
      <c r="A55" s="809" t="s">
        <v>690</v>
      </c>
      <c r="B55" s="847" t="s">
        <v>672</v>
      </c>
      <c r="C55" s="891"/>
      <c r="D55" s="810" t="s">
        <v>818</v>
      </c>
      <c r="F55" s="1143"/>
      <c r="G55" s="792" t="str">
        <f>IF(AND(ISBLANK(F55),C55="x",$N$8&gt;0),"Attenzione: domanda a risposta obbligatoria",IF(ISBLANK(F55),"",IF(ISNUMBER(F55),IF(F55-INT(F55)=0,"","  Errore ! Inserire un numero intero senza decimali"),"  Errore ! Inserire un numero intero senza decimali")))</f>
        <v/>
      </c>
      <c r="K55" s="786" t="str">
        <f>LEFT(A55,3)</f>
        <v>ORG</v>
      </c>
      <c r="L55" s="786" t="str">
        <f>RIGHT(A55,3)</f>
        <v>272</v>
      </c>
      <c r="M55" s="786" t="str">
        <f>B55</f>
        <v>INT</v>
      </c>
      <c r="N55" s="786" t="str">
        <f>IF(ISNUMBER(F55),ROUND(F55,0),"")</f>
        <v/>
      </c>
    </row>
    <row r="56" spans="1:14" s="785" customFormat="1" ht="4.3499999999999996" customHeight="1" x14ac:dyDescent="0.2">
      <c r="A56" s="808"/>
      <c r="B56" s="808"/>
      <c r="C56" s="891"/>
      <c r="D56" s="800"/>
      <c r="E56" s="800"/>
      <c r="F56" s="801"/>
      <c r="G56" s="807"/>
    </row>
    <row r="57" spans="1:14" s="785" customFormat="1" ht="30" customHeight="1" x14ac:dyDescent="0.2">
      <c r="A57" s="1136" t="s">
        <v>691</v>
      </c>
      <c r="B57" s="1136"/>
      <c r="C57" s="1141"/>
      <c r="D57" s="1137" t="s">
        <v>815</v>
      </c>
      <c r="E57" s="1136"/>
      <c r="F57" s="1138"/>
    </row>
    <row r="58" spans="1:14" s="785" customFormat="1" ht="4.3499999999999996" customHeight="1" x14ac:dyDescent="0.2">
      <c r="A58" s="800"/>
      <c r="B58" s="800"/>
      <c r="C58" s="891"/>
      <c r="D58" s="800"/>
      <c r="E58" s="800"/>
      <c r="F58" s="801"/>
      <c r="G58" s="807"/>
    </row>
    <row r="59" spans="1:14" s="785" customFormat="1" ht="30" customHeight="1" x14ac:dyDescent="0.2">
      <c r="A59" s="809" t="s">
        <v>692</v>
      </c>
      <c r="B59" s="804" t="s">
        <v>672</v>
      </c>
      <c r="C59" s="891"/>
      <c r="D59" s="799" t="s">
        <v>819</v>
      </c>
      <c r="F59" s="1143"/>
      <c r="G59" s="792" t="str">
        <f>IF(AND(ISBLANK(F59),C59="x",$N$8&gt;0),"Attenzione: domanda a risposta obbligatoria",IF(ISBLANK(F59),"",IF(ISNUMBER(F59),IF(F59-INT(F59)=0,"","  Errore ! Inserire un numero intero senza decimali"),"  Errore ! Inserire un numero intero senza decimali")))</f>
        <v/>
      </c>
      <c r="K59" s="786" t="str">
        <f>LEFT(A59,3)</f>
        <v>PRD</v>
      </c>
      <c r="L59" s="786" t="str">
        <f>RIGHT(A59,3)</f>
        <v>137</v>
      </c>
      <c r="M59" s="786" t="str">
        <f>B59</f>
        <v>INT</v>
      </c>
      <c r="N59" s="786" t="str">
        <f>IF(ISNUMBER(F59),ROUND(F59,0),"")</f>
        <v/>
      </c>
    </row>
    <row r="60" spans="1:14" s="785" customFormat="1" ht="4.3499999999999996" customHeight="1" x14ac:dyDescent="0.2">
      <c r="A60" s="809"/>
      <c r="B60" s="809"/>
      <c r="C60" s="891"/>
      <c r="D60" s="800"/>
      <c r="E60" s="800"/>
      <c r="F60" s="801"/>
      <c r="G60" s="789"/>
      <c r="I60" s="1155"/>
      <c r="J60" s="814"/>
    </row>
    <row r="61" spans="1:14" s="785" customFormat="1" ht="30" customHeight="1" x14ac:dyDescent="0.2">
      <c r="A61" s="809" t="s">
        <v>693</v>
      </c>
      <c r="B61" s="804" t="s">
        <v>672</v>
      </c>
      <c r="C61" s="891"/>
      <c r="D61" s="799" t="s">
        <v>820</v>
      </c>
      <c r="F61" s="1143"/>
      <c r="G61" s="792" t="str">
        <f>IF(AND(ISBLANK(F61),C61="x",$N$8&gt;0),"Attenzione: domanda a risposta obbligatoria",IF(ISBLANK(F61),"",IF(ISNUMBER(F61),IF(F61-INT(F61)=0,"","  Errore ! Inserire un numero intero senza decimali"),"  Errore ! Inserire un numero intero senza decimali")))</f>
        <v/>
      </c>
      <c r="K61" s="786" t="str">
        <f>LEFT(A61,3)</f>
        <v>PRD</v>
      </c>
      <c r="L61" s="786" t="str">
        <f>RIGHT(A61,3)</f>
        <v>115</v>
      </c>
      <c r="M61" s="786" t="str">
        <f>B61</f>
        <v>INT</v>
      </c>
      <c r="N61" s="786" t="str">
        <f>IF(ISNUMBER(F61),ROUND(F61,0),"")</f>
        <v/>
      </c>
    </row>
    <row r="62" spans="1:14" s="785" customFormat="1" ht="4.3499999999999996" customHeight="1" x14ac:dyDescent="0.2">
      <c r="A62" s="809"/>
      <c r="B62" s="809"/>
      <c r="C62" s="891"/>
      <c r="D62" s="800"/>
      <c r="E62" s="800"/>
      <c r="F62" s="801"/>
      <c r="G62" s="813"/>
      <c r="I62" s="1155"/>
      <c r="J62" s="814"/>
    </row>
    <row r="63" spans="1:14" s="838" customFormat="1" ht="30" customHeight="1" x14ac:dyDescent="0.2">
      <c r="A63" s="834" t="s">
        <v>1161</v>
      </c>
      <c r="B63" s="836" t="s">
        <v>669</v>
      </c>
      <c r="C63" s="1174"/>
      <c r="D63" s="835" t="s">
        <v>1162</v>
      </c>
      <c r="F63" s="1377"/>
      <c r="G63" s="1378" t="str">
        <f>IF(AND(ISBLANK(F63),C63="x",$N$8&gt;0),"Attenzione: domanda a risposta obbligatoria",IF(ISBLANK(F63),"",IF(AND(LEN(F63)=1,OR(UPPER(F63)="N",UPPER(F63)="S")),"",IF(ISBLANK(F63),"","  Errore ! Inserire S o N"))))</f>
        <v/>
      </c>
      <c r="K63" s="1379" t="str">
        <f>LEFT(A63,3)</f>
        <v>PRD</v>
      </c>
      <c r="L63" s="1379" t="str">
        <f>RIGHT(A63,3)</f>
        <v>480</v>
      </c>
      <c r="M63" s="1379" t="str">
        <f>B63</f>
        <v>FLAG</v>
      </c>
      <c r="N63" s="1380" t="str">
        <f>IF(AND(LEN(F63)=1,OR(UPPER(F63)="N",UPPER(F63)="S")),UPPER(F63),"")</f>
        <v/>
      </c>
    </row>
    <row r="64" spans="1:14" s="838" customFormat="1" ht="4.3499999999999996" customHeight="1" x14ac:dyDescent="0.2">
      <c r="A64" s="834"/>
      <c r="B64" s="834"/>
      <c r="C64" s="1174"/>
      <c r="D64" s="1395"/>
      <c r="E64" s="1147"/>
      <c r="F64" s="1148"/>
      <c r="G64" s="1381"/>
    </row>
    <row r="65" spans="1:14" s="838" customFormat="1" ht="30" customHeight="1" x14ac:dyDescent="0.2">
      <c r="A65" s="834" t="s">
        <v>1163</v>
      </c>
      <c r="B65" s="836" t="s">
        <v>672</v>
      </c>
      <c r="C65" s="1174"/>
      <c r="D65" s="835" t="s">
        <v>1164</v>
      </c>
      <c r="F65" s="1172"/>
      <c r="G65" s="1378" t="str">
        <f>IF(AND(ISBLANK(F65),C65="x",$N$8&gt;0),"Attenzione: domanda a risposta obbligatoria",IF(ISBLANK(F65),"",IF(ISNUMBER(F65),IF(F65-INT(F65)=0,"","  Errore ! Inserire un numero intero senza decimali"),"  Errore ! Inserire un numero intero senza decimali")))</f>
        <v/>
      </c>
      <c r="K65" s="1379" t="str">
        <f>LEFT(A65,3)</f>
        <v>PRD</v>
      </c>
      <c r="L65" s="1379" t="str">
        <f>RIGHT(A65,3)</f>
        <v>481</v>
      </c>
      <c r="M65" s="1379" t="str">
        <f>B65</f>
        <v>INT</v>
      </c>
      <c r="N65" s="1379" t="str">
        <f>IF(ISNUMBER(F65),ROUND(F65,0),"")</f>
        <v/>
      </c>
    </row>
    <row r="66" spans="1:14" s="838" customFormat="1" ht="4.3499999999999996" customHeight="1" x14ac:dyDescent="0.2">
      <c r="A66" s="834"/>
      <c r="B66" s="834"/>
      <c r="C66" s="1174"/>
      <c r="D66" s="1395"/>
      <c r="E66" s="1147"/>
      <c r="F66" s="1148"/>
      <c r="G66" s="1381"/>
    </row>
    <row r="67" spans="1:14" s="838" customFormat="1" ht="30" customHeight="1" x14ac:dyDescent="0.2">
      <c r="A67" s="834" t="s">
        <v>1165</v>
      </c>
      <c r="B67" s="836" t="s">
        <v>672</v>
      </c>
      <c r="C67" s="1174"/>
      <c r="D67" s="835" t="s">
        <v>1166</v>
      </c>
      <c r="F67" s="1172"/>
      <c r="G67" s="1378" t="str">
        <f>IF(AND(ISBLANK(F67),C67="x",$N$8&gt;0),"Attenzione: domanda a risposta obbligatoria",IF(ISBLANK(F67),"",IF(ISNUMBER(F67),IF(F67-INT(F67)=0,"","  Errore ! Inserire un numero intero senza decimali"),"  Errore ! Inserire un numero intero senza decimali")))</f>
        <v/>
      </c>
      <c r="K67" s="1379" t="str">
        <f>LEFT(A67,3)</f>
        <v>PRD</v>
      </c>
      <c r="L67" s="1379" t="str">
        <f>RIGHT(A67,3)</f>
        <v>482</v>
      </c>
      <c r="M67" s="1379" t="str">
        <f>B67</f>
        <v>INT</v>
      </c>
      <c r="N67" s="1379" t="str">
        <f>IF(ISNUMBER(F67),ROUND(F67,0),"")</f>
        <v/>
      </c>
    </row>
    <row r="68" spans="1:14" s="838" customFormat="1" ht="4.3499999999999996" customHeight="1" x14ac:dyDescent="0.2">
      <c r="A68" s="834"/>
      <c r="B68" s="834"/>
      <c r="D68" s="1382"/>
      <c r="E68" s="1147"/>
      <c r="F68" s="1148"/>
      <c r="G68" s="1381"/>
    </row>
    <row r="69" spans="1:14" s="785" customFormat="1" ht="30" customHeight="1" x14ac:dyDescent="0.2">
      <c r="A69" s="1136" t="s">
        <v>694</v>
      </c>
      <c r="B69" s="1136"/>
      <c r="C69" s="1137"/>
      <c r="D69" s="1137" t="s">
        <v>695</v>
      </c>
      <c r="E69" s="1159"/>
      <c r="F69" s="1160"/>
      <c r="G69" s="816"/>
      <c r="I69" s="1155"/>
      <c r="J69" s="814"/>
    </row>
    <row r="70" spans="1:14" s="785" customFormat="1" ht="4.3499999999999996" customHeight="1" x14ac:dyDescent="0.2">
      <c r="A70" s="815"/>
      <c r="B70" s="815"/>
      <c r="D70" s="800"/>
      <c r="E70" s="800"/>
      <c r="F70" s="801"/>
      <c r="G70" s="816"/>
      <c r="I70" s="1155"/>
      <c r="J70" s="814"/>
    </row>
    <row r="71" spans="1:14" s="785" customFormat="1" ht="15" customHeight="1" x14ac:dyDescent="0.2">
      <c r="A71" s="803" t="s">
        <v>696</v>
      </c>
      <c r="B71" s="804" t="s">
        <v>393</v>
      </c>
      <c r="D71" s="799" t="s">
        <v>697</v>
      </c>
      <c r="F71" s="801"/>
      <c r="G71" s="817"/>
      <c r="K71" s="786" t="str">
        <f>LEFT(A71,3)</f>
        <v>INF</v>
      </c>
      <c r="L71" s="786" t="str">
        <f>RIGHT(A71,3)</f>
        <v>209</v>
      </c>
      <c r="M71" s="786" t="str">
        <f>B71</f>
        <v>NOTE</v>
      </c>
      <c r="N71" s="785" t="str">
        <f>IF(ISBLANK(D72),"",LEFT(D72,1500))</f>
        <v/>
      </c>
    </row>
    <row r="72" spans="1:14" s="785" customFormat="1" ht="45" customHeight="1" x14ac:dyDescent="0.2">
      <c r="A72" s="1161"/>
      <c r="B72" s="1161"/>
      <c r="D72" s="1572"/>
      <c r="E72" s="1573"/>
      <c r="F72" s="1574"/>
      <c r="G72" s="792" t="str">
        <f>IF(LEN(D72)&gt;1500,"Attenzione, è stato superato il numero massimo di 1500 caratteri","")</f>
        <v/>
      </c>
      <c r="I72" s="1155"/>
    </row>
    <row r="73" spans="1:14" s="785" customFormat="1" ht="15" customHeight="1" x14ac:dyDescent="0.2">
      <c r="A73" s="818"/>
      <c r="B73" s="818"/>
      <c r="D73" s="800"/>
      <c r="E73" s="800"/>
      <c r="F73" s="819"/>
      <c r="G73" s="816"/>
      <c r="I73" s="1155"/>
      <c r="J73" s="820"/>
    </row>
    <row r="74" spans="1:14" s="785" customFormat="1" ht="15" customHeight="1" x14ac:dyDescent="0.2">
      <c r="A74" s="803" t="s">
        <v>698</v>
      </c>
      <c r="B74" s="804" t="s">
        <v>393</v>
      </c>
      <c r="D74" s="799" t="s">
        <v>699</v>
      </c>
      <c r="F74" s="801"/>
      <c r="G74" s="817"/>
      <c r="K74" s="786" t="str">
        <f>LEFT(A74,3)</f>
        <v>INF</v>
      </c>
      <c r="L74" s="786" t="str">
        <f>RIGHT(A74,3)</f>
        <v>127</v>
      </c>
      <c r="M74" s="786" t="str">
        <f>B74</f>
        <v>NOTE</v>
      </c>
      <c r="N74" s="785" t="str">
        <f>IF(ISBLANK(D75),"",LEFT(D75,1500))</f>
        <v/>
      </c>
    </row>
    <row r="75" spans="1:14" s="785" customFormat="1" ht="45" customHeight="1" x14ac:dyDescent="0.2">
      <c r="A75" s="1161"/>
      <c r="B75" s="1161"/>
      <c r="D75" s="1572"/>
      <c r="E75" s="1573"/>
      <c r="F75" s="1574"/>
      <c r="G75" s="792" t="str">
        <f>IF(LEN(D75)&gt;1500,"Attenzione, è stato superato il numero massimo di 1500 caratteri","")</f>
        <v/>
      </c>
      <c r="I75" s="1155"/>
      <c r="K75" s="793" t="s">
        <v>547</v>
      </c>
    </row>
    <row r="76" spans="1:14" s="868" customFormat="1" x14ac:dyDescent="0.25">
      <c r="A76" s="867"/>
      <c r="B76" s="867"/>
      <c r="F76" s="869"/>
      <c r="G76" s="870"/>
    </row>
  </sheetData>
  <sheetProtection algorithmName="SHA-512" hashValue="CJn5LZKUb27f9IeXdexhVBgfqX5hfcOjTQWGFnVi0z+14ng4B3Lfcb9Z94e/93t1SqMRbBWxXU0U0X1BhvRA0w==" saltValue="hbRecxn6A00tW+jsyrWZsg==" spinCount="100000" sheet="1" formatColumns="0" selectLockedCells="1"/>
  <dataConsolidate/>
  <mergeCells count="4">
    <mergeCell ref="G2:G3"/>
    <mergeCell ref="G5:G6"/>
    <mergeCell ref="D72:F72"/>
    <mergeCell ref="D75:F75"/>
  </mergeCells>
  <dataValidations count="4">
    <dataValidation type="whole" operator="lessThan" allowBlank="1" showInputMessage="1" showErrorMessage="1" errorTitle="Errore di digitazione" error="Inserire solo numeri interi o lasciare vuoto." sqref="F55 F59 F37 F39 F41 F61 F53 F47 F29 F35 F19 F23 F25 F49 F51 F31 F33 F43 F45 F65 F67" xr:uid="{D25D4179-816E-4182-A6E4-892A11F6CF2A}">
      <formula1>100000000000000</formula1>
    </dataValidation>
    <dataValidation type="list" allowBlank="1" showDropDown="1" showInputMessage="1" showErrorMessage="1" errorTitle="Errore di digitazione" error="Digitare 'S' o 'N' o lasciare in bianco" sqref="F63" xr:uid="{309649ED-DBEE-473C-B869-9FCC659FC62B}">
      <formula1>"s,n,S,N"</formula1>
    </dataValidation>
    <dataValidation type="textLength" allowBlank="1" showInputMessage="1" showErrorMessage="1" error="Inserire massimo 1500 caratteri" sqref="D75:F75 D72:F72" xr:uid="{53AA6669-3DBF-4604-9982-5CDBCDBF91EE}">
      <formula1>0</formula1>
      <formula2>1500</formula2>
    </dataValidation>
    <dataValidation type="date" allowBlank="1" showInputMessage="1" showErrorMessage="1" errorTitle="Errore di digitazione" error="Digitare una data non anteriore al 1 Gennaio dell'anno precedente alla di rilevazione (gg/mm/aaaa)" sqref="F15 F13 F17" xr:uid="{5A8A9DC7-253A-400B-91DE-C6DBD8D39C8C}">
      <formula1>44562</formula1>
      <formula2>TODAY()</formula2>
    </dataValidation>
  </dataValidations>
  <printOptions horizontalCentered="1"/>
  <pageMargins left="0.39370078740157483" right="0.39370078740157483" top="0.78740157480314965" bottom="0.39370078740157483" header="0.31496062992125984" footer="0.31496062992125984"/>
  <pageSetup paperSize="9" scale="5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P64"/>
  <sheetViews>
    <sheetView showGridLines="0" zoomScale="80" zoomScaleNormal="80" workbookViewId="0">
      <selection activeCell="F13" sqref="F13"/>
    </sheetView>
  </sheetViews>
  <sheetFormatPr defaultColWidth="12.7109375" defaultRowHeight="15" x14ac:dyDescent="0.25"/>
  <cols>
    <col min="1" max="1" width="10.7109375" style="821" customWidth="1"/>
    <col min="2" max="2" width="8.7109375" style="821" customWidth="1"/>
    <col min="3" max="3" width="2.7109375" style="798" customWidth="1"/>
    <col min="4" max="4" width="180.7109375" style="798" customWidth="1"/>
    <col min="5" max="5" width="2.7109375" style="798" customWidth="1"/>
    <col min="6" max="6" width="20.7109375" style="822" customWidth="1"/>
    <col min="7" max="7" width="50.7109375" style="797" customWidth="1"/>
    <col min="8" max="10" width="12.7109375" style="798" customWidth="1"/>
    <col min="11" max="13" width="12.7109375" style="798" hidden="1" customWidth="1"/>
    <col min="14" max="14" width="15.7109375" style="798" hidden="1" customWidth="1"/>
    <col min="15" max="16" width="12.7109375" style="798" customWidth="1"/>
    <col min="17" max="16384" width="12.7109375" style="798"/>
  </cols>
  <sheetData>
    <row r="1" spans="1:16" s="1111" customFormat="1" ht="35.1" customHeight="1" thickBot="1" x14ac:dyDescent="0.25">
      <c r="A1" s="1107"/>
      <c r="B1" s="1107"/>
      <c r="C1" s="1108"/>
      <c r="D1" s="1108"/>
      <c r="E1" s="1109"/>
      <c r="F1" s="1109"/>
      <c r="G1" s="922" t="s">
        <v>874</v>
      </c>
      <c r="H1" s="1162" t="s">
        <v>474</v>
      </c>
    </row>
    <row r="2" spans="1:16" s="1111" customFormat="1" ht="35.1" customHeight="1" x14ac:dyDescent="0.4">
      <c r="A2" s="1112" t="s">
        <v>659</v>
      </c>
      <c r="B2" s="1112"/>
      <c r="C2" s="1113"/>
      <c r="D2" s="1113"/>
      <c r="E2" s="1113"/>
      <c r="F2" s="1114"/>
      <c r="G2" s="1561" t="str">
        <f>IF(AND(ISBLANK($F$23),SUM('t15(4)'!$W:$W)+SUM('t15(4)'!$R:$R)&gt;0),"Attenzione: è necessario compilare la domanda LEG428 !!!","OK")</f>
        <v>OK</v>
      </c>
    </row>
    <row r="3" spans="1:16" s="1118" customFormat="1" ht="35.1" customHeight="1" thickBot="1" x14ac:dyDescent="0.45">
      <c r="A3" s="1112" t="s">
        <v>660</v>
      </c>
      <c r="B3" s="1112"/>
      <c r="C3" s="1115"/>
      <c r="D3" s="1115"/>
      <c r="E3" s="1116"/>
      <c r="F3" s="1117"/>
      <c r="G3" s="1565"/>
      <c r="K3" s="1119"/>
    </row>
    <row r="4" spans="1:16" s="1126" customFormat="1" ht="35.1" customHeight="1" thickBot="1" x14ac:dyDescent="0.25">
      <c r="A4" s="1120"/>
      <c r="B4" s="1121"/>
      <c r="C4" s="1122"/>
      <c r="D4" s="1122"/>
      <c r="E4" s="1123"/>
      <c r="F4" s="1124"/>
      <c r="G4" s="1125" t="s">
        <v>661</v>
      </c>
    </row>
    <row r="5" spans="1:16" s="1126" customFormat="1" ht="35.1" customHeight="1" x14ac:dyDescent="0.2">
      <c r="G5" s="1570" t="str">
        <f>IF(AND(ISBLANK(F13),ISBLANK(F17)),"OK",IF(AND(OR(ISBLANK(F13),YEAR(F13)&gt;'t1'!L1-1),OR(ISBLANK(F17),YEAR(F17)&gt;'t1'!L1-1)),"OK","Attenzione: almeno una data di certificazione è antececedente l'anno "&amp;'t1'!L1&amp;", è necessario giustificare"))</f>
        <v>OK</v>
      </c>
    </row>
    <row r="6" spans="1:16" s="1126" customFormat="1" ht="35.1" customHeight="1" thickBot="1" x14ac:dyDescent="0.25">
      <c r="A6" s="1127" t="str">
        <f>'t1'!$A$1</f>
        <v>ENTI PUBBLICI NON ECONOMICI - anno 2023</v>
      </c>
      <c r="B6" s="1127"/>
      <c r="C6" s="1128"/>
      <c r="D6" s="1129"/>
      <c r="E6" s="1128"/>
      <c r="F6" s="1128"/>
      <c r="G6" s="1571"/>
    </row>
    <row r="7" spans="1:16" s="1126" customFormat="1" ht="35.1" customHeight="1" x14ac:dyDescent="0.2">
      <c r="A7" s="1130"/>
      <c r="B7" s="1130"/>
      <c r="D7" s="1131" t="s">
        <v>705</v>
      </c>
      <c r="N7" s="796" t="s">
        <v>663</v>
      </c>
    </row>
    <row r="8" spans="1:16" s="1126" customFormat="1" ht="15" customHeight="1" x14ac:dyDescent="0.2">
      <c r="A8" s="1130"/>
      <c r="B8" s="1130"/>
      <c r="D8" s="1132"/>
      <c r="N8" s="1133">
        <f>(COUNTIF(F:F,"&lt;&gt;"&amp;"")+COUNTIF(D60,"&lt;&gt;"&amp;"")+COUNTIF(D63,"&lt;&gt;"&amp;""))</f>
        <v>0</v>
      </c>
    </row>
    <row r="9" spans="1:16" s="1126" customFormat="1" ht="10.35" customHeight="1" x14ac:dyDescent="0.2">
      <c r="A9" s="1130"/>
      <c r="B9" s="1130"/>
      <c r="D9" s="1132"/>
      <c r="N9" s="796"/>
    </row>
    <row r="10" spans="1:16" ht="10.35" customHeight="1" x14ac:dyDescent="0.25">
      <c r="A10" s="1167"/>
      <c r="B10" s="1167"/>
      <c r="D10" s="1168"/>
      <c r="E10" s="1167"/>
      <c r="F10" s="806"/>
    </row>
    <row r="11" spans="1:16" s="785" customFormat="1" ht="35.1" customHeight="1" x14ac:dyDescent="0.2">
      <c r="A11" s="1136" t="s">
        <v>664</v>
      </c>
      <c r="B11" s="1136"/>
      <c r="C11" s="1137"/>
      <c r="D11" s="1137" t="s">
        <v>665</v>
      </c>
      <c r="E11" s="1136"/>
      <c r="F11" s="1138"/>
      <c r="G11" s="799"/>
      <c r="K11" s="796" t="s">
        <v>666</v>
      </c>
      <c r="L11" s="796" t="s">
        <v>667</v>
      </c>
      <c r="M11" s="796" t="s">
        <v>668</v>
      </c>
      <c r="N11" s="796" t="s">
        <v>655</v>
      </c>
    </row>
    <row r="12" spans="1:16" s="785" customFormat="1" ht="4.3499999999999996" customHeight="1" x14ac:dyDescent="0.2">
      <c r="A12" s="800"/>
      <c r="B12" s="800"/>
      <c r="D12" s="800"/>
      <c r="E12" s="800"/>
      <c r="F12" s="801"/>
      <c r="G12" s="799"/>
      <c r="K12" s="802"/>
      <c r="L12" s="802"/>
      <c r="M12" s="802"/>
      <c r="N12" s="802"/>
    </row>
    <row r="13" spans="1:16" s="785" customFormat="1" ht="30" customHeight="1" x14ac:dyDescent="0.2">
      <c r="A13" s="834" t="s">
        <v>736</v>
      </c>
      <c r="B13" s="836" t="s">
        <v>670</v>
      </c>
      <c r="C13" s="891"/>
      <c r="D13" s="810" t="s">
        <v>905</v>
      </c>
      <c r="E13" s="837"/>
      <c r="F13" s="782"/>
      <c r="G13" s="1139" t="str">
        <f ca="1">IF(AND(ISBLANK(F13),C13="x",$N$8&gt;0),"Attenzione: domanda a risposta obbligatoria",IF(ISBLANK(F13),"",IF(AND(F13&gt;=DATE('t1'!$L$1-2,1,1),F13&lt;=TODAY()),"","Digitare una data non anteriore al 1 Gennaio "&amp;'t1'!$L$1-1&amp;" (gg/mm/aaaa)")))</f>
        <v/>
      </c>
      <c r="K13" s="786" t="str">
        <f>LEFT(A13,3)</f>
        <v>GEN</v>
      </c>
      <c r="L13" s="786" t="str">
        <f>RIGHT(A13,3)</f>
        <v>353</v>
      </c>
      <c r="M13" s="786" t="str">
        <f>B13</f>
        <v>DATE</v>
      </c>
      <c r="N13" s="1140" t="str">
        <f ca="1">IF(AND(F13&gt;=DATE('t1'!$L$1-1,1,1),F13&lt;=TODAY()),"'"&amp;DAY(F13)&amp;"/"&amp;MONTH(F13)&amp;"/"&amp;YEAR(F13),"")</f>
        <v/>
      </c>
    </row>
    <row r="14" spans="1:16" s="785" customFormat="1" ht="4.3499999999999996" customHeight="1" x14ac:dyDescent="0.2">
      <c r="A14" s="777"/>
      <c r="B14" s="777"/>
      <c r="C14" s="891"/>
      <c r="D14" s="866"/>
      <c r="E14" s="774"/>
      <c r="F14" s="780"/>
      <c r="G14" s="781"/>
    </row>
    <row r="15" spans="1:16" s="785" customFormat="1" ht="30" customHeight="1" x14ac:dyDescent="0.2">
      <c r="A15" s="834" t="s">
        <v>737</v>
      </c>
      <c r="B15" s="836" t="s">
        <v>670</v>
      </c>
      <c r="C15" s="891"/>
      <c r="D15" s="810" t="s">
        <v>906</v>
      </c>
      <c r="E15" s="837"/>
      <c r="F15" s="782"/>
      <c r="G15" s="1139" t="str">
        <f ca="1">IF(AND(ISBLANK(F15),C15="x",$N$8&gt;0),"Attenzione: domanda a risposta obbligatoria",IF(ISBLANK(F15),"",IF(AND(F15&gt;=DATE('t1'!$L$1-2,1,1),F15&lt;=TODAY()),"","Digitare una data non anteriore al 1 Gennaio "&amp;'t1'!$L$1-1&amp;" (gg/mm/aaaa)")))</f>
        <v/>
      </c>
      <c r="K15" s="786" t="str">
        <f>LEFT(A15,3)</f>
        <v>GEN</v>
      </c>
      <c r="L15" s="786" t="str">
        <f>RIGHT(A15,3)</f>
        <v>354</v>
      </c>
      <c r="M15" s="786" t="str">
        <f>B15</f>
        <v>DATE</v>
      </c>
      <c r="N15" s="1140" t="str">
        <f ca="1">IF(AND(F15&gt;=DATE('t1'!$L$1-1,1,1),F15&lt;=TODAY()),"'"&amp;DAY(F15)&amp;"/"&amp;MONTH(F15)&amp;"/"&amp;YEAR(F15),"")</f>
        <v/>
      </c>
      <c r="P15" s="823"/>
    </row>
    <row r="16" spans="1:16" s="785" customFormat="1" ht="4.3499999999999996" customHeight="1" x14ac:dyDescent="0.2">
      <c r="A16" s="777"/>
      <c r="B16" s="777"/>
      <c r="C16" s="891"/>
      <c r="D16" s="810"/>
      <c r="E16" s="774"/>
      <c r="F16" s="780"/>
      <c r="G16" s="781"/>
    </row>
    <row r="17" spans="1:14" s="785" customFormat="1" ht="30" customHeight="1" x14ac:dyDescent="0.2">
      <c r="A17" s="834" t="s">
        <v>738</v>
      </c>
      <c r="B17" s="836" t="s">
        <v>670</v>
      </c>
      <c r="C17" s="891"/>
      <c r="D17" s="810" t="s">
        <v>907</v>
      </c>
      <c r="E17" s="838"/>
      <c r="F17" s="782"/>
      <c r="G17" s="1139" t="str">
        <f ca="1">IF(AND(ISBLANK(F17),C17="x",$N$8&gt;0),"Attenzione: domanda a risposta obbligatoria",IF(ISBLANK(F17),"",IF(AND(F17&gt;=DATE('t1'!$L$1-2,1,1),F17&lt;=TODAY()),"","Digitare una data non anteriore al 1 Gennaio "&amp;'t1'!$L$1-1&amp;" (gg/mm/aaaa)")))</f>
        <v/>
      </c>
      <c r="K17" s="786" t="str">
        <f>LEFT(A17,3)</f>
        <v>GEN</v>
      </c>
      <c r="L17" s="786" t="str">
        <f>RIGHT(A17,3)</f>
        <v>355</v>
      </c>
      <c r="M17" s="786" t="str">
        <f>B17</f>
        <v>DATE</v>
      </c>
      <c r="N17" s="1140" t="str">
        <f ca="1">IF(AND(F17&gt;=DATE('t1'!$L$1-1,1,1),F17&lt;=TODAY()),"'"&amp;DAY(F17)&amp;"/"&amp;MONTH(F17)&amp;"/"&amp;YEAR(F17),"")</f>
        <v/>
      </c>
    </row>
    <row r="18" spans="1:14" s="785" customFormat="1" ht="4.3499999999999996" customHeight="1" x14ac:dyDescent="0.2">
      <c r="A18" s="777"/>
      <c r="B18" s="777"/>
      <c r="C18" s="891"/>
      <c r="D18" s="774"/>
      <c r="E18" s="774"/>
      <c r="F18" s="780"/>
      <c r="G18" s="781"/>
    </row>
    <row r="19" spans="1:14" s="785" customFormat="1" ht="30" customHeight="1" x14ac:dyDescent="0.2">
      <c r="A19" s="839" t="s">
        <v>671</v>
      </c>
      <c r="B19" s="840" t="s">
        <v>672</v>
      </c>
      <c r="C19" s="891" t="s">
        <v>932</v>
      </c>
      <c r="D19" s="835" t="s">
        <v>673</v>
      </c>
      <c r="E19" s="837"/>
      <c r="F19" s="841"/>
      <c r="G19" s="1139" t="str">
        <f>IF(AND(ISBLANK(F19),C19="x",$N$8&gt;0),"Attenzione: domanda a risposta obbligatoria",IF(AND(SUM(F13:F17)&gt;0,G5="ok",F19&gt;0),"Attenzione, dato incoerente",IF(ISBLANK(F19),"",IF(ISNUMBER(F19),IF(F19-INT(F19)=0,"","  Errore ! Inserire un numero intero senza decimali"),"  Errore ! Inserire un numero intero senza decimali"))))</f>
        <v/>
      </c>
      <c r="K19" s="786" t="str">
        <f>LEFT(A19,3)</f>
        <v>GEN</v>
      </c>
      <c r="L19" s="786" t="str">
        <f>RIGHT(A19,3)</f>
        <v>195</v>
      </c>
      <c r="M19" s="786" t="str">
        <f>B19</f>
        <v>INT</v>
      </c>
      <c r="N19" s="786" t="str">
        <f>IF(ISNUMBER(F19),ROUND(F19,0),"")</f>
        <v/>
      </c>
    </row>
    <row r="20" spans="1:14" s="785" customFormat="1" ht="4.3499999999999996" customHeight="1" x14ac:dyDescent="0.2">
      <c r="A20" s="784"/>
      <c r="B20" s="784"/>
      <c r="C20" s="891"/>
      <c r="D20" s="774"/>
      <c r="E20" s="774"/>
      <c r="F20" s="775"/>
      <c r="G20" s="781"/>
    </row>
    <row r="21" spans="1:14" s="785" customFormat="1" ht="30" customHeight="1" x14ac:dyDescent="0.2">
      <c r="A21" s="1136" t="s">
        <v>674</v>
      </c>
      <c r="B21" s="1136"/>
      <c r="C21" s="1141"/>
      <c r="D21" s="1137" t="s">
        <v>769</v>
      </c>
      <c r="E21" s="1136"/>
      <c r="F21" s="1138"/>
      <c r="G21" s="781"/>
    </row>
    <row r="22" spans="1:14" s="837" customFormat="1" ht="4.3499999999999996" customHeight="1" x14ac:dyDescent="0.2">
      <c r="A22" s="848"/>
      <c r="B22" s="848"/>
      <c r="C22" s="890"/>
      <c r="D22" s="848"/>
      <c r="E22" s="848"/>
      <c r="F22" s="849"/>
      <c r="G22" s="850"/>
      <c r="I22" s="1142"/>
      <c r="J22" s="851"/>
    </row>
    <row r="23" spans="1:14" s="785" customFormat="1" ht="30" customHeight="1" x14ac:dyDescent="0.2">
      <c r="A23" s="834" t="s">
        <v>878</v>
      </c>
      <c r="B23" s="836" t="s">
        <v>672</v>
      </c>
      <c r="C23" s="891" t="s">
        <v>932</v>
      </c>
      <c r="D23" s="835" t="s">
        <v>879</v>
      </c>
      <c r="F23" s="1143"/>
      <c r="G23" s="792" t="str">
        <f>IF(AND(ISBLANK(F23),C23="x",$N$8&gt;0),"Attenzione: domanda a risposta obbligatoria",IF(ISBLANK(F23),"",IF(ISNUMBER(F23),IF(F23-INT(F23)=0,"","  Errore ! Inserire un numero intero senza decimali"),"  Errore ! Inserire un numero intero senza decimali")))</f>
        <v/>
      </c>
      <c r="K23" s="786" t="str">
        <f>LEFT(A23,3)</f>
        <v>LEG</v>
      </c>
      <c r="L23" s="786" t="str">
        <f>RIGHT(A23,3)</f>
        <v>428</v>
      </c>
      <c r="M23" s="786" t="str">
        <f>B23</f>
        <v>INT</v>
      </c>
      <c r="N23" s="786" t="str">
        <f>IF(ISNUMBER(F23),ROUND(F23,0),"")</f>
        <v/>
      </c>
    </row>
    <row r="24" spans="1:14" s="785" customFormat="1" ht="4.3499999999999996" customHeight="1" x14ac:dyDescent="0.2">
      <c r="A24" s="774"/>
      <c r="B24" s="852"/>
      <c r="C24" s="891"/>
      <c r="D24" s="852"/>
      <c r="E24" s="774"/>
      <c r="F24" s="775"/>
      <c r="G24" s="1163"/>
    </row>
    <row r="25" spans="1:14" s="785" customFormat="1" ht="30" customHeight="1" x14ac:dyDescent="0.2">
      <c r="A25" s="809" t="s">
        <v>841</v>
      </c>
      <c r="B25" s="847" t="s">
        <v>672</v>
      </c>
      <c r="C25" s="891"/>
      <c r="D25" s="877" t="s">
        <v>933</v>
      </c>
      <c r="E25" s="1151"/>
      <c r="F25" s="1152"/>
      <c r="G25" s="792" t="str">
        <f>IF(AND(ISBLANK(F25),C25="x",$N$8&gt;0),"Attenzione: domanda a risposta obbligatoria",IF(ISBLANK(F25),"",IF(ISNUMBER(F25),IF(F25-INT(F25)=0,"","  Errore ! Inserire un numero intero senza decimali"),"  Errore ! Inserire un numero intero senza decimali")))</f>
        <v/>
      </c>
      <c r="K25" s="786" t="str">
        <f>LEFT(A25,3)</f>
        <v>LEG</v>
      </c>
      <c r="L25" s="786" t="str">
        <f>RIGHT(A25,3)</f>
        <v>398</v>
      </c>
      <c r="M25" s="786" t="str">
        <f>B25</f>
        <v>INT</v>
      </c>
      <c r="N25" s="786" t="str">
        <f>IF(ISNUMBER(F25),ROUND(F25,0),"")</f>
        <v/>
      </c>
    </row>
    <row r="26" spans="1:14" s="785" customFormat="1" ht="4.3499999999999996" customHeight="1" x14ac:dyDescent="0.2">
      <c r="A26" s="803"/>
      <c r="B26" s="803"/>
      <c r="C26" s="891"/>
      <c r="D26" s="811"/>
      <c r="E26" s="800"/>
      <c r="F26" s="806"/>
      <c r="G26" s="807"/>
    </row>
    <row r="27" spans="1:14" s="785" customFormat="1" ht="30" customHeight="1" x14ac:dyDescent="0.2">
      <c r="A27" s="1136" t="s">
        <v>675</v>
      </c>
      <c r="B27" s="1136"/>
      <c r="C27" s="1141"/>
      <c r="D27" s="1137" t="s">
        <v>676</v>
      </c>
      <c r="E27" s="1136"/>
      <c r="F27" s="1138"/>
      <c r="G27" s="807"/>
    </row>
    <row r="28" spans="1:14" s="785" customFormat="1" ht="4.3499999999999996" customHeight="1" x14ac:dyDescent="0.2">
      <c r="A28" s="800"/>
      <c r="B28" s="800"/>
      <c r="C28" s="891"/>
      <c r="D28" s="800"/>
      <c r="E28" s="800"/>
      <c r="F28" s="801"/>
      <c r="G28" s="807"/>
    </row>
    <row r="29" spans="1:14" s="785" customFormat="1" ht="30" customHeight="1" x14ac:dyDescent="0.2">
      <c r="A29" s="809" t="s">
        <v>706</v>
      </c>
      <c r="B29" s="804" t="s">
        <v>672</v>
      </c>
      <c r="C29" s="891"/>
      <c r="D29" s="799" t="s">
        <v>707</v>
      </c>
      <c r="F29" s="1143"/>
      <c r="G29" s="792" t="str">
        <f>IF(AND(ISBLANK(F29),C29="x",$N$8&gt;0),"Attenzione: domanda a risposta obbligatoria",IF(ISBLANK(F29),"",IF(ISNUMBER(F29),IF(F29-INT(F29)=0,"","  Errore ! Inserire un numero intero senza decimali"),"  Errore ! Inserire un numero intero senza decimali")))</f>
        <v/>
      </c>
      <c r="K29" s="786" t="str">
        <f>LEFT(A29,3)</f>
        <v>ORG</v>
      </c>
      <c r="L29" s="786" t="str">
        <f>RIGHT(A29,3)</f>
        <v>129</v>
      </c>
      <c r="M29" s="786" t="str">
        <f>B29</f>
        <v>INT</v>
      </c>
      <c r="N29" s="786" t="str">
        <f>IF(ISNUMBER(F29),ROUND(F29,0),"")</f>
        <v/>
      </c>
    </row>
    <row r="30" spans="1:14" s="785" customFormat="1" ht="4.3499999999999996" customHeight="1" x14ac:dyDescent="0.2">
      <c r="A30" s="812"/>
      <c r="B30" s="812"/>
      <c r="C30" s="891"/>
      <c r="D30" s="800"/>
      <c r="E30" s="800"/>
      <c r="F30" s="801"/>
      <c r="G30" s="781"/>
      <c r="I30" s="1155"/>
      <c r="J30" s="814"/>
    </row>
    <row r="31" spans="1:14" s="785" customFormat="1" ht="30" customHeight="1" x14ac:dyDescent="0.2">
      <c r="A31" s="809" t="s">
        <v>708</v>
      </c>
      <c r="B31" s="804" t="s">
        <v>672</v>
      </c>
      <c r="C31" s="891"/>
      <c r="D31" s="799" t="s">
        <v>825</v>
      </c>
      <c r="F31" s="1143"/>
      <c r="G31" s="792" t="str">
        <f>IF(AND(ISBLANK(F31),C31="x",$N$8&gt;0),"Attenzione: domanda a risposta obbligatoria",IF(ISBLANK(F31),"",IF(ISNUMBER(F31),IF(F31-INT(F31)=0,"","  Errore ! Inserire un numero intero senza decimali"),"  Errore ! Inserire un numero intero senza decimali")))</f>
        <v/>
      </c>
      <c r="K31" s="786" t="str">
        <f>LEFT(A31,3)</f>
        <v>ORG</v>
      </c>
      <c r="L31" s="786" t="str">
        <f>RIGHT(A31,3)</f>
        <v>148</v>
      </c>
      <c r="M31" s="786" t="str">
        <f>B31</f>
        <v>INT</v>
      </c>
      <c r="N31" s="786" t="str">
        <f>IF(ISNUMBER(F31),ROUND(F31,0),"")</f>
        <v/>
      </c>
    </row>
    <row r="32" spans="1:14" s="785" customFormat="1" ht="4.3499999999999996" customHeight="1" x14ac:dyDescent="0.2">
      <c r="A32" s="812"/>
      <c r="B32" s="812"/>
      <c r="C32" s="891"/>
      <c r="D32" s="800"/>
      <c r="E32" s="800"/>
      <c r="F32" s="801"/>
      <c r="G32" s="781"/>
      <c r="I32" s="1155"/>
      <c r="J32" s="814"/>
    </row>
    <row r="33" spans="1:14" s="785" customFormat="1" ht="30" customHeight="1" x14ac:dyDescent="0.2">
      <c r="A33" s="809" t="s">
        <v>709</v>
      </c>
      <c r="B33" s="804" t="s">
        <v>672</v>
      </c>
      <c r="C33" s="891"/>
      <c r="D33" s="799" t="s">
        <v>826</v>
      </c>
      <c r="F33" s="1143"/>
      <c r="G33" s="792" t="str">
        <f>IF(AND(ISBLANK(F33),C33="x",$N$8&gt;0),"Attenzione: domanda a risposta obbligatoria",IF(ISBLANK(F33),"",IF(ISNUMBER(F33),IF(F33-INT(F33)=0,"","  Errore ! Inserire un numero intero senza decimali"),"  Errore ! Inserire un numero intero senza decimali")))</f>
        <v/>
      </c>
      <c r="K33" s="786" t="str">
        <f>LEFT(A33,3)</f>
        <v>ORG</v>
      </c>
      <c r="L33" s="786" t="str">
        <f>RIGHT(A33,3)</f>
        <v>200</v>
      </c>
      <c r="M33" s="786" t="str">
        <f>B33</f>
        <v>INT</v>
      </c>
      <c r="N33" s="786" t="str">
        <f>IF(ISNUMBER(F33),ROUND(F33,0),"")</f>
        <v/>
      </c>
    </row>
    <row r="34" spans="1:14" s="785" customFormat="1" ht="4.3499999999999996" customHeight="1" x14ac:dyDescent="0.2">
      <c r="A34" s="809"/>
      <c r="B34" s="809"/>
      <c r="C34" s="891"/>
      <c r="D34" s="800"/>
      <c r="E34" s="800"/>
      <c r="F34" s="801"/>
      <c r="G34" s="789"/>
      <c r="I34" s="1155"/>
      <c r="J34" s="814"/>
    </row>
    <row r="35" spans="1:14" s="785" customFormat="1" ht="30" customHeight="1" x14ac:dyDescent="0.2">
      <c r="A35" s="809" t="s">
        <v>710</v>
      </c>
      <c r="B35" s="804" t="s">
        <v>672</v>
      </c>
      <c r="C35" s="891"/>
      <c r="D35" s="799" t="s">
        <v>827</v>
      </c>
      <c r="F35" s="1143"/>
      <c r="G35" s="792" t="str">
        <f>IF(AND(ISBLANK(F35),C35="x",$N$8&gt;0),"Attenzione: domanda a risposta obbligatoria",IF(ISBLANK(F35),"",IF(ISNUMBER(F35),IF(F35-INT(F35)=0,"","  Errore ! Inserire un numero intero senza decimali"),"  Errore ! Inserire un numero intero senza decimali")))</f>
        <v/>
      </c>
      <c r="K35" s="786" t="str">
        <f>LEFT(A35,3)</f>
        <v>ORG</v>
      </c>
      <c r="L35" s="786" t="str">
        <f>RIGHT(A35,3)</f>
        <v>186</v>
      </c>
      <c r="M35" s="786" t="str">
        <f>B35</f>
        <v>INT</v>
      </c>
      <c r="N35" s="786" t="str">
        <f>IF(ISNUMBER(F35),ROUND(F35,0),"")</f>
        <v/>
      </c>
    </row>
    <row r="36" spans="1:14" s="785" customFormat="1" ht="4.3499999999999996" customHeight="1" x14ac:dyDescent="0.2">
      <c r="A36" s="809"/>
      <c r="B36" s="809"/>
      <c r="C36" s="891"/>
      <c r="D36" s="800"/>
      <c r="E36" s="800"/>
      <c r="F36" s="801"/>
      <c r="G36" s="789"/>
      <c r="I36" s="1155"/>
      <c r="J36" s="814"/>
    </row>
    <row r="37" spans="1:14" s="785" customFormat="1" ht="30" customHeight="1" x14ac:dyDescent="0.2">
      <c r="A37" s="809" t="s">
        <v>711</v>
      </c>
      <c r="B37" s="804" t="s">
        <v>672</v>
      </c>
      <c r="C37" s="891"/>
      <c r="D37" s="799" t="s">
        <v>712</v>
      </c>
      <c r="F37" s="1143"/>
      <c r="G37" s="792" t="str">
        <f>IF(AND(ISBLANK(F37),C37="x",$N$8&gt;0),"Attenzione: domanda a risposta obbligatoria",IF(ISBLANK(F37),"",IF(ISNUMBER(F37),IF(F37-INT(F37)=0,"","  Errore ! Inserire un numero intero senza decimali"),"  Errore ! Inserire un numero intero senza decimali")))</f>
        <v/>
      </c>
      <c r="K37" s="786" t="str">
        <f>LEFT(A37,3)</f>
        <v>ORG</v>
      </c>
      <c r="L37" s="786" t="str">
        <f>RIGHT(A37,3)</f>
        <v>180</v>
      </c>
      <c r="M37" s="786" t="str">
        <f>B37</f>
        <v>INT</v>
      </c>
      <c r="N37" s="786" t="str">
        <f>IF(ISNUMBER(F37),ROUND(F37,0),"")</f>
        <v/>
      </c>
    </row>
    <row r="38" spans="1:14" s="785" customFormat="1" ht="4.3499999999999996" customHeight="1" x14ac:dyDescent="0.2">
      <c r="A38" s="809"/>
      <c r="B38" s="809"/>
      <c r="C38" s="891"/>
      <c r="D38" s="800"/>
      <c r="E38" s="800"/>
      <c r="F38" s="801"/>
      <c r="G38" s="789"/>
      <c r="I38" s="1155"/>
      <c r="J38" s="814"/>
    </row>
    <row r="39" spans="1:14" s="785" customFormat="1" ht="30" customHeight="1" x14ac:dyDescent="0.2">
      <c r="A39" s="809" t="s">
        <v>713</v>
      </c>
      <c r="B39" s="804" t="s">
        <v>672</v>
      </c>
      <c r="C39" s="891"/>
      <c r="D39" s="799" t="s">
        <v>828</v>
      </c>
      <c r="F39" s="1143"/>
      <c r="G39" s="792" t="str">
        <f>IF(AND(ISBLANK(F39),C39="x",$N$8&gt;0),"Attenzione: domanda a risposta obbligatoria",IF(ISBLANK(F39),"",IF(ISNUMBER(F39),IF(F39-INT(F39)=0,"","  Errore ! Inserire un numero intero senza decimali"),"  Errore ! Inserire un numero intero senza decimali")))</f>
        <v/>
      </c>
      <c r="K39" s="786" t="str">
        <f>LEFT(A39,3)</f>
        <v>ORG</v>
      </c>
      <c r="L39" s="786" t="str">
        <f>RIGHT(A39,3)</f>
        <v>122</v>
      </c>
      <c r="M39" s="786" t="str">
        <f>B39</f>
        <v>INT</v>
      </c>
      <c r="N39" s="786" t="str">
        <f>IF(ISNUMBER(F39),ROUND(F39,0),"")</f>
        <v/>
      </c>
    </row>
    <row r="40" spans="1:14" s="785" customFormat="1" ht="4.3499999999999996" customHeight="1" x14ac:dyDescent="0.2">
      <c r="A40" s="809"/>
      <c r="B40" s="809"/>
      <c r="C40" s="891"/>
      <c r="D40" s="800"/>
      <c r="E40" s="800"/>
      <c r="F40" s="801"/>
      <c r="G40" s="789"/>
      <c r="I40" s="1155"/>
      <c r="J40" s="814"/>
    </row>
    <row r="41" spans="1:14" s="785" customFormat="1" ht="30" customHeight="1" x14ac:dyDescent="0.2">
      <c r="A41" s="809" t="s">
        <v>714</v>
      </c>
      <c r="B41" s="804" t="s">
        <v>672</v>
      </c>
      <c r="C41" s="891"/>
      <c r="D41" s="799" t="s">
        <v>829</v>
      </c>
      <c r="F41" s="1143"/>
      <c r="G41" s="792" t="str">
        <f>IF(AND(ISBLANK(F41),C41="x",$N$8&gt;0),"Attenzione: domanda a risposta obbligatoria",IF(ISBLANK(F41),"",IF(ISNUMBER(F41),IF(F41-INT(F41)=0,"","  Errore ! Inserire un numero intero senza decimali"),"  Errore ! Inserire un numero intero senza decimali")))</f>
        <v/>
      </c>
      <c r="K41" s="786" t="str">
        <f>LEFT(A41,3)</f>
        <v>ORG</v>
      </c>
      <c r="L41" s="786" t="str">
        <f>RIGHT(A41,3)</f>
        <v>141</v>
      </c>
      <c r="M41" s="786" t="str">
        <f>B41</f>
        <v>INT</v>
      </c>
      <c r="N41" s="786" t="str">
        <f>IF(ISNUMBER(F41),ROUND(F41,0),"")</f>
        <v/>
      </c>
    </row>
    <row r="42" spans="1:14" s="785" customFormat="1" ht="4.3499999999999996" customHeight="1" x14ac:dyDescent="0.2">
      <c r="A42" s="809"/>
      <c r="B42" s="809"/>
      <c r="C42" s="891"/>
      <c r="D42" s="800"/>
      <c r="E42" s="800"/>
      <c r="F42" s="801"/>
      <c r="G42" s="789"/>
      <c r="I42" s="1155"/>
      <c r="J42" s="814"/>
    </row>
    <row r="43" spans="1:14" s="785" customFormat="1" ht="30" customHeight="1" x14ac:dyDescent="0.2">
      <c r="A43" s="809" t="s">
        <v>715</v>
      </c>
      <c r="B43" s="804" t="s">
        <v>672</v>
      </c>
      <c r="C43" s="891"/>
      <c r="D43" s="799" t="s">
        <v>830</v>
      </c>
      <c r="F43" s="1143"/>
      <c r="G43" s="792" t="str">
        <f>IF(AND(ISBLANK(F43),C43="x",$N$8&gt;0),"Attenzione: domanda a risposta obbligatoria",IF(ISBLANK(F43),"",IF(ISNUMBER(F43),IF(F43-INT(F43)=0,"","  Errore ! Inserire un numero intero senza decimali"),"  Errore ! Inserire un numero intero senza decimali")))</f>
        <v/>
      </c>
      <c r="K43" s="786" t="str">
        <f>LEFT(A43,3)</f>
        <v>ORG</v>
      </c>
      <c r="L43" s="786" t="str">
        <f>RIGHT(A43,3)</f>
        <v>197</v>
      </c>
      <c r="M43" s="786" t="str">
        <f>B43</f>
        <v>INT</v>
      </c>
      <c r="N43" s="786" t="str">
        <f>IF(ISNUMBER(F43),ROUND(F43,0),"")</f>
        <v/>
      </c>
    </row>
    <row r="44" spans="1:14" s="785" customFormat="1" ht="4.3499999999999996" customHeight="1" x14ac:dyDescent="0.2">
      <c r="A44" s="808"/>
      <c r="B44" s="808"/>
      <c r="C44" s="891"/>
      <c r="D44" s="800"/>
      <c r="E44" s="800"/>
      <c r="F44" s="801"/>
      <c r="G44" s="807"/>
    </row>
    <row r="45" spans="1:14" s="785" customFormat="1" ht="30" customHeight="1" x14ac:dyDescent="0.2">
      <c r="A45" s="1136" t="s">
        <v>691</v>
      </c>
      <c r="B45" s="1136"/>
      <c r="C45" s="1141"/>
      <c r="D45" s="1137" t="s">
        <v>815</v>
      </c>
      <c r="E45" s="1136"/>
      <c r="F45" s="1138"/>
      <c r="G45" s="792"/>
    </row>
    <row r="46" spans="1:14" s="785" customFormat="1" ht="4.3499999999999996" customHeight="1" x14ac:dyDescent="0.2">
      <c r="A46" s="800"/>
      <c r="B46" s="800"/>
      <c r="C46" s="891"/>
      <c r="D46" s="800"/>
      <c r="E46" s="800"/>
      <c r="F46" s="801"/>
      <c r="G46" s="807"/>
    </row>
    <row r="47" spans="1:14" s="785" customFormat="1" ht="30" customHeight="1" x14ac:dyDescent="0.2">
      <c r="A47" s="809" t="s">
        <v>692</v>
      </c>
      <c r="B47" s="804" t="s">
        <v>672</v>
      </c>
      <c r="C47" s="891"/>
      <c r="D47" s="810" t="s">
        <v>819</v>
      </c>
      <c r="F47" s="1143"/>
      <c r="G47" s="792" t="str">
        <f>IF(AND(ISBLANK(F47),C47="x",$N$8&gt;0),"Attenzione: domanda a risposta obbligatoria",IF(ISBLANK(F47),"",IF(ISNUMBER(F47),IF(F47-INT(F47)=0,"","  Errore ! Inserire un numero intero senza decimali"),"  Errore ! Inserire un numero intero senza decimali")))</f>
        <v/>
      </c>
      <c r="K47" s="786" t="str">
        <f>LEFT(A47,3)</f>
        <v>PRD</v>
      </c>
      <c r="L47" s="786" t="str">
        <f>RIGHT(A47,3)</f>
        <v>137</v>
      </c>
      <c r="M47" s="786" t="str">
        <f>B47</f>
        <v>INT</v>
      </c>
      <c r="N47" s="786" t="str">
        <f>IF(ISNUMBER(F47),ROUND(F47,0),"")</f>
        <v/>
      </c>
    </row>
    <row r="48" spans="1:14" s="785" customFormat="1" ht="4.3499999999999996" customHeight="1" x14ac:dyDescent="0.2">
      <c r="A48" s="809"/>
      <c r="B48" s="809"/>
      <c r="C48" s="891"/>
      <c r="D48" s="800"/>
      <c r="E48" s="800"/>
      <c r="F48" s="801"/>
      <c r="G48" s="789"/>
      <c r="I48" s="1155"/>
      <c r="J48" s="814"/>
    </row>
    <row r="49" spans="1:14" s="785" customFormat="1" ht="30" customHeight="1" x14ac:dyDescent="0.2">
      <c r="A49" s="809" t="s">
        <v>693</v>
      </c>
      <c r="B49" s="804" t="s">
        <v>672</v>
      </c>
      <c r="C49" s="891"/>
      <c r="D49" s="810" t="s">
        <v>820</v>
      </c>
      <c r="F49" s="1143"/>
      <c r="G49" s="792" t="str">
        <f>IF(AND(ISBLANK(F49),C49="x",$N$8&gt;0),"Attenzione: domanda a risposta obbligatoria",IF(ISBLANK(F49),"",IF(ISNUMBER(F49),IF(F49-INT(F49)=0,"","  Errore ! Inserire un numero intero senza decimali"),"  Errore ! Inserire un numero intero senza decimali")))</f>
        <v/>
      </c>
      <c r="K49" s="786" t="str">
        <f>LEFT(A49,3)</f>
        <v>PRD</v>
      </c>
      <c r="L49" s="786" t="str">
        <f>RIGHT(A49,3)</f>
        <v>115</v>
      </c>
      <c r="M49" s="786" t="str">
        <f>B49</f>
        <v>INT</v>
      </c>
      <c r="N49" s="786" t="str">
        <f>IF(ISNUMBER(F49),ROUND(F49,0),"")</f>
        <v/>
      </c>
    </row>
    <row r="50" spans="1:14" s="785" customFormat="1" ht="4.3499999999999996" customHeight="1" x14ac:dyDescent="0.2">
      <c r="A50" s="809"/>
      <c r="B50" s="809"/>
      <c r="C50" s="891"/>
      <c r="D50" s="800"/>
      <c r="E50" s="800"/>
      <c r="F50" s="801"/>
      <c r="G50" s="813"/>
      <c r="I50" s="1155"/>
      <c r="J50" s="814"/>
    </row>
    <row r="51" spans="1:14" s="838" customFormat="1" ht="30" customHeight="1" x14ac:dyDescent="0.2">
      <c r="A51" s="834" t="s">
        <v>1161</v>
      </c>
      <c r="B51" s="836" t="s">
        <v>669</v>
      </c>
      <c r="C51" s="1174"/>
      <c r="D51" s="835" t="s">
        <v>1162</v>
      </c>
      <c r="F51" s="1377"/>
      <c r="G51" s="1378" t="str">
        <f>IF(AND(ISBLANK(F51),C51="x",$N$8&gt;0),"Attenzione: domanda a risposta obbligatoria",IF(ISBLANK(F51),"",IF(AND(LEN(F51)=1,OR(UPPER(F51)="N",UPPER(F51)="S")),"",IF(ISBLANK(F51),"","  Errore ! Inserire S o N"))))</f>
        <v/>
      </c>
      <c r="K51" s="1379" t="str">
        <f>LEFT(A51,3)</f>
        <v>PRD</v>
      </c>
      <c r="L51" s="1379" t="str">
        <f>RIGHT(A51,3)</f>
        <v>480</v>
      </c>
      <c r="M51" s="1379" t="str">
        <f>B51</f>
        <v>FLAG</v>
      </c>
      <c r="N51" s="1380" t="str">
        <f>IF(AND(LEN(F51)=1,OR(UPPER(F51)="N",UPPER(F51)="S")),UPPER(F51),"")</f>
        <v/>
      </c>
    </row>
    <row r="52" spans="1:14" s="838" customFormat="1" ht="4.3499999999999996" customHeight="1" x14ac:dyDescent="0.2">
      <c r="A52" s="834"/>
      <c r="B52" s="834"/>
      <c r="C52" s="1174"/>
      <c r="D52" s="1395"/>
      <c r="E52" s="1147"/>
      <c r="F52" s="1148"/>
      <c r="G52" s="1381"/>
    </row>
    <row r="53" spans="1:14" s="838" customFormat="1" ht="30" customHeight="1" x14ac:dyDescent="0.2">
      <c r="A53" s="834" t="s">
        <v>1163</v>
      </c>
      <c r="B53" s="836" t="s">
        <v>672</v>
      </c>
      <c r="C53" s="1174"/>
      <c r="D53" s="835" t="s">
        <v>1164</v>
      </c>
      <c r="F53" s="1172"/>
      <c r="G53" s="1378" t="str">
        <f>IF(AND(ISBLANK(F53),C53="x",$N$8&gt;0),"Attenzione: domanda a risposta obbligatoria",IF(ISBLANK(F53),"",IF(ISNUMBER(F53),IF(F53-INT(F53)=0,"","  Errore ! Inserire un numero intero senza decimali"),"  Errore ! Inserire un numero intero senza decimali")))</f>
        <v/>
      </c>
      <c r="K53" s="1379" t="str">
        <f>LEFT(A53,3)</f>
        <v>PRD</v>
      </c>
      <c r="L53" s="1379" t="str">
        <f>RIGHT(A53,3)</f>
        <v>481</v>
      </c>
      <c r="M53" s="1379" t="str">
        <f>B53</f>
        <v>INT</v>
      </c>
      <c r="N53" s="1379" t="str">
        <f>IF(ISNUMBER(F53),ROUND(F53,0),"")</f>
        <v/>
      </c>
    </row>
    <row r="54" spans="1:14" s="838" customFormat="1" ht="4.3499999999999996" customHeight="1" x14ac:dyDescent="0.2">
      <c r="A54" s="834"/>
      <c r="B54" s="834"/>
      <c r="C54" s="1174"/>
      <c r="D54" s="1395"/>
      <c r="E54" s="1147"/>
      <c r="F54" s="1148"/>
      <c r="G54" s="1381"/>
    </row>
    <row r="55" spans="1:14" s="838" customFormat="1" ht="30" customHeight="1" x14ac:dyDescent="0.2">
      <c r="A55" s="834" t="s">
        <v>1165</v>
      </c>
      <c r="B55" s="836" t="s">
        <v>672</v>
      </c>
      <c r="C55" s="1174"/>
      <c r="D55" s="835" t="s">
        <v>1166</v>
      </c>
      <c r="F55" s="1172"/>
      <c r="G55" s="1378" t="str">
        <f>IF(AND(ISBLANK(F55),C55="x",$N$8&gt;0),"Attenzione: domanda a risposta obbligatoria",IF(ISBLANK(F55),"",IF(ISNUMBER(F55),IF(F55-INT(F55)=0,"","  Errore ! Inserire un numero intero senza decimali"),"  Errore ! Inserire un numero intero senza decimali")))</f>
        <v/>
      </c>
      <c r="K55" s="1379" t="str">
        <f>LEFT(A55,3)</f>
        <v>PRD</v>
      </c>
      <c r="L55" s="1379" t="str">
        <f>RIGHT(A55,3)</f>
        <v>482</v>
      </c>
      <c r="M55" s="1379" t="str">
        <f>B55</f>
        <v>INT</v>
      </c>
      <c r="N55" s="1379" t="str">
        <f>IF(ISNUMBER(F55),ROUND(F55,0),"")</f>
        <v/>
      </c>
    </row>
    <row r="56" spans="1:14" s="838" customFormat="1" ht="4.3499999999999996" customHeight="1" x14ac:dyDescent="0.2">
      <c r="A56" s="834"/>
      <c r="B56" s="834"/>
      <c r="D56" s="1382"/>
      <c r="E56" s="1147"/>
      <c r="F56" s="1148"/>
      <c r="G56" s="1381"/>
    </row>
    <row r="57" spans="1:14" s="785" customFormat="1" ht="30" customHeight="1" x14ac:dyDescent="0.2">
      <c r="A57" s="1136" t="s">
        <v>694</v>
      </c>
      <c r="B57" s="1136"/>
      <c r="C57" s="1137"/>
      <c r="D57" s="1137" t="s">
        <v>695</v>
      </c>
      <c r="E57" s="1159"/>
      <c r="F57" s="1160"/>
      <c r="G57" s="816"/>
      <c r="I57" s="1155"/>
      <c r="J57" s="814"/>
    </row>
    <row r="58" spans="1:14" s="785" customFormat="1" ht="4.3499999999999996" customHeight="1" x14ac:dyDescent="0.2">
      <c r="A58" s="815"/>
      <c r="B58" s="815"/>
      <c r="D58" s="800"/>
      <c r="E58" s="800"/>
      <c r="F58" s="801"/>
      <c r="G58" s="816"/>
      <c r="I58" s="1155"/>
      <c r="J58" s="814"/>
    </row>
    <row r="59" spans="1:14" s="785" customFormat="1" x14ac:dyDescent="0.2">
      <c r="A59" s="803" t="s">
        <v>696</v>
      </c>
      <c r="B59" s="804" t="s">
        <v>393</v>
      </c>
      <c r="D59" s="799" t="s">
        <v>697</v>
      </c>
      <c r="F59" s="801"/>
      <c r="G59" s="817"/>
      <c r="K59" s="786" t="str">
        <f>LEFT(A59,3)</f>
        <v>INF</v>
      </c>
      <c r="L59" s="786" t="str">
        <f>RIGHT(A59,3)</f>
        <v>209</v>
      </c>
      <c r="M59" s="786" t="str">
        <f>B59</f>
        <v>NOTE</v>
      </c>
      <c r="N59" s="785" t="str">
        <f>IF(ISBLANK(D60),"",LEFT(D60,1500))</f>
        <v/>
      </c>
    </row>
    <row r="60" spans="1:14" s="785" customFormat="1" ht="45" customHeight="1" x14ac:dyDescent="0.2">
      <c r="A60" s="1161"/>
      <c r="B60" s="1161"/>
      <c r="D60" s="1572"/>
      <c r="E60" s="1573"/>
      <c r="F60" s="1574"/>
      <c r="G60" s="792" t="str">
        <f>IF(LEN(D60)&gt;1500,"Attenzione, è stato superato il numero massimo di 1500 caratteri","")</f>
        <v/>
      </c>
      <c r="I60" s="1155"/>
    </row>
    <row r="61" spans="1:14" s="785" customFormat="1" x14ac:dyDescent="0.2">
      <c r="A61" s="818"/>
      <c r="B61" s="818"/>
      <c r="D61" s="800"/>
      <c r="E61" s="800"/>
      <c r="F61" s="819"/>
      <c r="G61" s="816"/>
      <c r="I61" s="1155"/>
      <c r="J61" s="820"/>
    </row>
    <row r="62" spans="1:14" s="785" customFormat="1" x14ac:dyDescent="0.2">
      <c r="A62" s="803" t="s">
        <v>698</v>
      </c>
      <c r="B62" s="804" t="s">
        <v>393</v>
      </c>
      <c r="D62" s="799" t="s">
        <v>699</v>
      </c>
      <c r="F62" s="801"/>
      <c r="G62" s="817"/>
      <c r="K62" s="786" t="str">
        <f>LEFT(A62,3)</f>
        <v>INF</v>
      </c>
      <c r="L62" s="786" t="str">
        <f>RIGHT(A62,3)</f>
        <v>127</v>
      </c>
      <c r="M62" s="786" t="str">
        <f>B62</f>
        <v>NOTE</v>
      </c>
      <c r="N62" s="785" t="str">
        <f>IF(ISBLANK(D63),"",LEFT(D63,1500))</f>
        <v/>
      </c>
    </row>
    <row r="63" spans="1:14" s="785" customFormat="1" ht="45" customHeight="1" x14ac:dyDescent="0.2">
      <c r="A63" s="1161"/>
      <c r="B63" s="1161"/>
      <c r="D63" s="1572"/>
      <c r="E63" s="1573"/>
      <c r="F63" s="1574"/>
      <c r="G63" s="792" t="str">
        <f>IF(LEN(D63)&gt;1500,"Attenzione, è stato superato il numero massimo di 1500 caratteri","")</f>
        <v/>
      </c>
      <c r="I63" s="1155"/>
      <c r="K63" s="793" t="s">
        <v>547</v>
      </c>
    </row>
    <row r="64" spans="1:14" s="868" customFormat="1" x14ac:dyDescent="0.25">
      <c r="A64" s="867"/>
      <c r="B64" s="867"/>
      <c r="F64" s="869"/>
      <c r="G64" s="870"/>
    </row>
  </sheetData>
  <sheetProtection algorithmName="SHA-512" hashValue="mKjNAlNPGZlfFBd2sLgjIaKtGgF4AEsjpEXEZvkfao0rf3vZJpJe8ycfl9CJsROI5VjTYcpYOHWewf/BIDViDg==" saltValue="DE0qxMCmtUdNYFS4OTZ/9w==" spinCount="100000" sheet="1" formatColumns="0" selectLockedCells="1"/>
  <dataConsolidate/>
  <mergeCells count="4">
    <mergeCell ref="G2:G3"/>
    <mergeCell ref="G5:G6"/>
    <mergeCell ref="D60:F60"/>
    <mergeCell ref="D63:F63"/>
  </mergeCells>
  <dataValidations count="4">
    <dataValidation type="whole" operator="lessThan" allowBlank="1" showInputMessage="1" showErrorMessage="1" errorTitle="Errore di digitazione" error="Inserire solo numeri interi o lasciare vuoto." sqref="F43 F49 F33 F41 F35 F37 F39 F47 F29 F31 F19 F25 F23 F53 F55" xr:uid="{69F894E7-DEAF-4382-AA57-92208B283C91}">
      <formula1>100000000000000</formula1>
    </dataValidation>
    <dataValidation type="list" allowBlank="1" showDropDown="1" showInputMessage="1" showErrorMessage="1" errorTitle="Errore di digitazione" error="Digitare 'S' o 'N' o lasciare in bianco" sqref="F51" xr:uid="{30C56DFE-5F14-4CD6-A60D-8146E3119BDA}">
      <formula1>"s,n,S,N"</formula1>
    </dataValidation>
    <dataValidation type="textLength" allowBlank="1" showInputMessage="1" showErrorMessage="1" error="Inserire massimo 1500 caratteri" sqref="D63:F63 D60:F60" xr:uid="{6199A44F-D045-4D04-A92A-A6B22FEFDFC9}">
      <formula1>0</formula1>
      <formula2>1500</formula2>
    </dataValidation>
    <dataValidation type="date" allowBlank="1" showInputMessage="1" showErrorMessage="1" errorTitle="Errore di digitazione" error="Digitare una data non anteriore al 1 Gennaio dell'anno precedente alla di rilevazione (gg/mm/aaaa)" sqref="F15 F13 F17" xr:uid="{29D1420D-331D-4349-BDAA-27A0532B4313}">
      <formula1>44562</formula1>
      <formula2>TODAY()</formula2>
    </dataValidation>
  </dataValidations>
  <printOptions horizontalCentered="1"/>
  <pageMargins left="0.39370078740157483" right="0.39370078740157483" top="0.78740157480314965" bottom="0.39370078740157483" header="0.31496062992125984" footer="0.31496062992125984"/>
  <pageSetup paperSize="9" scale="5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N108"/>
  <sheetViews>
    <sheetView showGridLines="0" zoomScale="80" zoomScaleNormal="80" workbookViewId="0">
      <selection activeCell="F13" sqref="F13"/>
    </sheetView>
  </sheetViews>
  <sheetFormatPr defaultColWidth="12.7109375" defaultRowHeight="15" x14ac:dyDescent="0.25"/>
  <cols>
    <col min="1" max="1" width="10.7109375" style="821" customWidth="1"/>
    <col min="2" max="2" width="8.7109375" style="821" customWidth="1"/>
    <col min="3" max="3" width="2.7109375" style="798" customWidth="1"/>
    <col min="4" max="4" width="180.7109375" style="798" customWidth="1"/>
    <col min="5" max="5" width="2.7109375" style="798" customWidth="1"/>
    <col min="6" max="6" width="20.7109375" style="822" customWidth="1"/>
    <col min="7" max="7" width="50.7109375" style="797" customWidth="1"/>
    <col min="8" max="10" width="12.7109375" style="798" customWidth="1"/>
    <col min="11" max="13" width="12.7109375" style="798" hidden="1" customWidth="1"/>
    <col min="14" max="14" width="15.7109375" style="798" hidden="1" customWidth="1"/>
    <col min="15" max="16384" width="12.7109375" style="798"/>
  </cols>
  <sheetData>
    <row r="1" spans="1:14" s="1111" customFormat="1" ht="35.1" customHeight="1" thickBot="1" x14ac:dyDescent="0.25">
      <c r="A1" s="1107"/>
      <c r="B1" s="1107"/>
      <c r="C1" s="1108"/>
      <c r="D1" s="1108"/>
      <c r="E1" s="1109"/>
      <c r="F1" s="1109"/>
      <c r="G1" s="922" t="s">
        <v>874</v>
      </c>
      <c r="H1" s="1162" t="s">
        <v>267</v>
      </c>
    </row>
    <row r="2" spans="1:14" s="1111" customFormat="1" ht="35.1" customHeight="1" x14ac:dyDescent="0.4">
      <c r="A2" s="1112" t="s">
        <v>659</v>
      </c>
      <c r="B2" s="1112"/>
      <c r="C2" s="1113"/>
      <c r="D2" s="1113"/>
      <c r="E2" s="1113"/>
      <c r="F2" s="1114"/>
      <c r="G2" s="1561" t="str">
        <f>IF(AND(ISBLANK($F$27),SUM('t15(5)'!$W:$W)+SUM('t15(5)'!$R:$R)&gt;0),"Attenzione: è necessario compilare la domanda LEG428 !!!","OK")</f>
        <v>OK</v>
      </c>
    </row>
    <row r="3" spans="1:14" s="1118" customFormat="1" ht="35.1" customHeight="1" thickBot="1" x14ac:dyDescent="0.45">
      <c r="A3" s="1112" t="s">
        <v>660</v>
      </c>
      <c r="B3" s="1112"/>
      <c r="C3" s="1115"/>
      <c r="D3" s="1115"/>
      <c r="E3" s="1116"/>
      <c r="F3" s="1117"/>
      <c r="G3" s="1565"/>
      <c r="K3" s="1119"/>
    </row>
    <row r="4" spans="1:14" s="1111" customFormat="1" ht="35.1" customHeight="1" thickBot="1" x14ac:dyDescent="0.25">
      <c r="A4" s="1120"/>
      <c r="B4" s="1121"/>
      <c r="C4" s="1122"/>
      <c r="D4" s="1122"/>
      <c r="E4" s="1123"/>
      <c r="F4" s="1124"/>
      <c r="G4" s="1125" t="s">
        <v>661</v>
      </c>
      <c r="K4" s="1119"/>
    </row>
    <row r="5" spans="1:14" s="1126" customFormat="1" ht="35.1" customHeight="1" x14ac:dyDescent="0.2">
      <c r="G5" s="1570" t="str">
        <f>IF(AND(ISBLANK(F13),ISBLANK(F17)),"OK",IF(AND(OR(ISBLANK(F13),YEAR(F13)&gt;'t1'!L1-1),OR(ISBLANK(F17),YEAR(F17)&gt;'t1'!L1-1)),"OK","Attenzione: almeno una data di certificazione è antececedente l'anno "&amp;'t1'!L1&amp;", è necessario giustificare"))</f>
        <v>OK</v>
      </c>
    </row>
    <row r="6" spans="1:14" s="1126" customFormat="1" ht="35.1" customHeight="1" thickBot="1" x14ac:dyDescent="0.25">
      <c r="A6" s="1127" t="str">
        <f>'t1'!$A$1</f>
        <v>ENTI PUBBLICI NON ECONOMICI - anno 2023</v>
      </c>
      <c r="B6" s="1127"/>
      <c r="C6" s="1128"/>
      <c r="D6" s="1129"/>
      <c r="E6" s="1128"/>
      <c r="F6" s="1128"/>
      <c r="G6" s="1571"/>
    </row>
    <row r="7" spans="1:14" s="1126" customFormat="1" ht="35.1" customHeight="1" x14ac:dyDescent="0.2">
      <c r="A7" s="1130"/>
      <c r="B7" s="1130"/>
      <c r="D7" s="1131" t="s">
        <v>716</v>
      </c>
      <c r="N7" s="796" t="s">
        <v>663</v>
      </c>
    </row>
    <row r="8" spans="1:14" s="1126" customFormat="1" ht="15" customHeight="1" x14ac:dyDescent="0.2">
      <c r="A8" s="1130"/>
      <c r="B8" s="1130"/>
      <c r="D8" s="1132"/>
      <c r="N8" s="1133">
        <f>(COUNTIF(F:F,"&lt;&gt;"&amp;"")+COUNTIF(D103,"&lt;&gt;"&amp;"")+COUNTIF(D106,"&lt;&gt;"&amp;""))</f>
        <v>0</v>
      </c>
    </row>
    <row r="9" spans="1:14" s="1126" customFormat="1" ht="10.35" customHeight="1" x14ac:dyDescent="0.2">
      <c r="A9" s="1130"/>
      <c r="B9" s="1130"/>
      <c r="D9" s="1132"/>
      <c r="N9" s="796"/>
    </row>
    <row r="10" spans="1:14" ht="10.35" customHeight="1" x14ac:dyDescent="0.25">
      <c r="A10" s="1167"/>
      <c r="B10" s="1167"/>
      <c r="D10" s="1168"/>
      <c r="E10" s="1167"/>
      <c r="F10" s="806"/>
    </row>
    <row r="11" spans="1:14" s="785" customFormat="1" ht="35.1" customHeight="1" x14ac:dyDescent="0.2">
      <c r="A11" s="1136" t="s">
        <v>664</v>
      </c>
      <c r="B11" s="1136"/>
      <c r="C11" s="1137"/>
      <c r="D11" s="1137" t="s">
        <v>665</v>
      </c>
      <c r="E11" s="1136"/>
      <c r="F11" s="1138"/>
      <c r="G11" s="799"/>
      <c r="K11" s="796" t="s">
        <v>666</v>
      </c>
      <c r="L11" s="796" t="s">
        <v>667</v>
      </c>
      <c r="M11" s="796" t="s">
        <v>668</v>
      </c>
      <c r="N11" s="796" t="s">
        <v>655</v>
      </c>
    </row>
    <row r="12" spans="1:14" s="785" customFormat="1" ht="4.3499999999999996" customHeight="1" x14ac:dyDescent="0.2">
      <c r="A12" s="800"/>
      <c r="B12" s="800"/>
      <c r="D12" s="800"/>
      <c r="E12" s="800"/>
      <c r="F12" s="801"/>
      <c r="G12" s="799"/>
      <c r="K12" s="802"/>
      <c r="L12" s="802"/>
      <c r="M12" s="802"/>
      <c r="N12" s="802"/>
    </row>
    <row r="13" spans="1:14" s="785" customFormat="1" ht="30" customHeight="1" x14ac:dyDescent="0.2">
      <c r="A13" s="834" t="s">
        <v>736</v>
      </c>
      <c r="B13" s="836" t="s">
        <v>670</v>
      </c>
      <c r="C13" s="891"/>
      <c r="D13" s="810" t="s">
        <v>905</v>
      </c>
      <c r="E13" s="837"/>
      <c r="F13" s="782"/>
      <c r="G13" s="1139" t="str">
        <f ca="1">IF(AND(ISBLANK(F13),C13="x",$N$8&gt;0),"Attenzione: domanda a risposta obbligatoria",IF(ISBLANK(F13),"",IF(AND(F13&gt;=DATE('t1'!$L$1-2,1,1),F13&lt;=TODAY()),"","Digitare una data non anteriore al 1 Gennaio "&amp;'t1'!$L$1-1&amp;" (gg/mm/aaaa)")))</f>
        <v/>
      </c>
      <c r="K13" s="786" t="str">
        <f>LEFT(A13,3)</f>
        <v>GEN</v>
      </c>
      <c r="L13" s="786" t="str">
        <f>RIGHT(A13,3)</f>
        <v>353</v>
      </c>
      <c r="M13" s="786" t="str">
        <f>B13</f>
        <v>DATE</v>
      </c>
      <c r="N13" s="1140" t="str">
        <f ca="1">IF(AND(F13&gt;=DATE('t1'!$L$1-1,1,1),F13&lt;=TODAY()),"'"&amp;DAY(F13)&amp;"/"&amp;MONTH(F13)&amp;"/"&amp;YEAR(F13),"")</f>
        <v/>
      </c>
    </row>
    <row r="14" spans="1:14" s="785" customFormat="1" ht="4.3499999999999996" customHeight="1" x14ac:dyDescent="0.2">
      <c r="A14" s="777"/>
      <c r="B14" s="777"/>
      <c r="C14" s="891"/>
      <c r="D14" s="866"/>
      <c r="E14" s="774"/>
      <c r="F14" s="780"/>
      <c r="G14" s="781"/>
    </row>
    <row r="15" spans="1:14" s="785" customFormat="1" ht="30" customHeight="1" x14ac:dyDescent="0.2">
      <c r="A15" s="834" t="s">
        <v>737</v>
      </c>
      <c r="B15" s="836" t="s">
        <v>670</v>
      </c>
      <c r="C15" s="891"/>
      <c r="D15" s="810" t="s">
        <v>906</v>
      </c>
      <c r="E15" s="837"/>
      <c r="F15" s="782"/>
      <c r="G15" s="1139" t="str">
        <f ca="1">IF(AND(ISBLANK(F15),C15="x",$N$8&gt;0),"Attenzione: domanda a risposta obbligatoria",IF(ISBLANK(F15),"",IF(AND(F15&gt;=DATE('t1'!$L$1-2,1,1),F15&lt;=TODAY()),"","Digitare una data non anteriore al 1 Gennaio "&amp;'t1'!$L$1-1&amp;" (gg/mm/aaaa)")))</f>
        <v/>
      </c>
      <c r="K15" s="786" t="str">
        <f>LEFT(A15,3)</f>
        <v>GEN</v>
      </c>
      <c r="L15" s="786" t="str">
        <f>RIGHT(A15,3)</f>
        <v>354</v>
      </c>
      <c r="M15" s="786" t="str">
        <f>B15</f>
        <v>DATE</v>
      </c>
      <c r="N15" s="1140" t="str">
        <f ca="1">IF(AND(F15&gt;=DATE('t1'!$L$1-1,1,1),F15&lt;=TODAY()),"'"&amp;DAY(F15)&amp;"/"&amp;MONTH(F15)&amp;"/"&amp;YEAR(F15),"")</f>
        <v/>
      </c>
    </row>
    <row r="16" spans="1:14" s="785" customFormat="1" ht="4.3499999999999996" customHeight="1" x14ac:dyDescent="0.2">
      <c r="A16" s="777"/>
      <c r="B16" s="777"/>
      <c r="C16" s="891"/>
      <c r="D16" s="810"/>
      <c r="E16" s="774"/>
      <c r="F16" s="780"/>
      <c r="G16" s="781"/>
    </row>
    <row r="17" spans="1:14" s="785" customFormat="1" ht="30" customHeight="1" x14ac:dyDescent="0.2">
      <c r="A17" s="834" t="s">
        <v>738</v>
      </c>
      <c r="B17" s="836" t="s">
        <v>670</v>
      </c>
      <c r="C17" s="891"/>
      <c r="D17" s="810" t="s">
        <v>907</v>
      </c>
      <c r="E17" s="838"/>
      <c r="F17" s="782"/>
      <c r="G17" s="1139" t="str">
        <f ca="1">IF(AND(ISBLANK(F17),C17="x",$N$8&gt;0),"Attenzione: domanda a risposta obbligatoria",IF(ISBLANK(F17),"",IF(AND(F17&gt;=DATE('t1'!$L$1-2,1,1),F17&lt;=TODAY()),"","Digitare una data non anteriore al 1 Gennaio "&amp;'t1'!$L$1-1&amp;" (gg/mm/aaaa)")))</f>
        <v/>
      </c>
      <c r="K17" s="786" t="str">
        <f>LEFT(A17,3)</f>
        <v>GEN</v>
      </c>
      <c r="L17" s="786" t="str">
        <f>RIGHT(A17,3)</f>
        <v>355</v>
      </c>
      <c r="M17" s="786" t="str">
        <f>B17</f>
        <v>DATE</v>
      </c>
      <c r="N17" s="1140" t="str">
        <f ca="1">IF(AND(F17&gt;=DATE('t1'!$L$1-1,1,1),F17&lt;=TODAY()),"'"&amp;DAY(F17)&amp;"/"&amp;MONTH(F17)&amp;"/"&amp;YEAR(F17),"")</f>
        <v/>
      </c>
    </row>
    <row r="18" spans="1:14" s="785" customFormat="1" ht="4.3499999999999996" customHeight="1" x14ac:dyDescent="0.2">
      <c r="A18" s="777"/>
      <c r="B18" s="777"/>
      <c r="C18" s="891"/>
      <c r="D18" s="774"/>
      <c r="E18" s="774"/>
      <c r="F18" s="780"/>
      <c r="G18" s="781"/>
    </row>
    <row r="19" spans="1:14" s="785" customFormat="1" ht="30" customHeight="1" x14ac:dyDescent="0.2">
      <c r="A19" s="839" t="s">
        <v>671</v>
      </c>
      <c r="B19" s="840" t="s">
        <v>672</v>
      </c>
      <c r="C19" s="891" t="s">
        <v>932</v>
      </c>
      <c r="D19" s="835" t="s">
        <v>673</v>
      </c>
      <c r="E19" s="837"/>
      <c r="F19" s="841"/>
      <c r="G19" s="1139" t="str">
        <f>IF(AND(ISBLANK(F19),C19="x",$N$8&gt;0),"Attenzione: domanda a risposta obbligatoria",IF(AND(SUM(F13:F17)&gt;0,G5="ok",F19&gt;0),"Attenzione, dato incoerente",IF(ISBLANK(F19),"",IF(ISNUMBER(F19),IF(F19-INT(F19)=0,"","  Errore ! Inserire un numero intero senza decimali"),"  Errore ! Inserire un numero intero senza decimali"))))</f>
        <v/>
      </c>
      <c r="K19" s="786" t="str">
        <f>LEFT(A19,3)</f>
        <v>GEN</v>
      </c>
      <c r="L19" s="786" t="str">
        <f>RIGHT(A19,3)</f>
        <v>195</v>
      </c>
      <c r="M19" s="786" t="str">
        <f>B19</f>
        <v>INT</v>
      </c>
      <c r="N19" s="786" t="str">
        <f>IF(ISNUMBER(F19),ROUND(F19,0),"")</f>
        <v/>
      </c>
    </row>
    <row r="20" spans="1:14" s="785" customFormat="1" ht="4.05" customHeight="1" x14ac:dyDescent="0.2">
      <c r="A20" s="808"/>
      <c r="B20" s="808"/>
      <c r="C20" s="891"/>
      <c r="D20" s="800"/>
      <c r="E20" s="800"/>
      <c r="F20" s="801"/>
      <c r="G20" s="1169"/>
    </row>
    <row r="21" spans="1:14" s="785" customFormat="1" ht="30" customHeight="1" x14ac:dyDescent="0.2">
      <c r="A21" s="809" t="s">
        <v>1031</v>
      </c>
      <c r="B21" s="847" t="s">
        <v>672</v>
      </c>
      <c r="C21" s="1171"/>
      <c r="D21" s="877" t="s">
        <v>1032</v>
      </c>
      <c r="E21" s="838"/>
      <c r="F21" s="1172"/>
      <c r="G21" s="792" t="str">
        <f>IF(AND(ISBLANK(F21),C21="x",$N$8&gt;0),"Attenzione: domanda a risposta obbligatoria",IF(ISBLANK(F21),"",IF(ISNUMBER(F21),IF(F21-INT(F21)=0,"","  Errore ! Inserire un numero intero senza decimali"),"  Errore ! Inserire un numero intero senza decimali")))</f>
        <v/>
      </c>
      <c r="K21" s="786" t="str">
        <f>LEFT(A21,3)</f>
        <v>GEN</v>
      </c>
      <c r="L21" s="786" t="str">
        <f>RIGHT(A21,3)</f>
        <v>474</v>
      </c>
      <c r="M21" s="786" t="str">
        <f>B21</f>
        <v>INT</v>
      </c>
      <c r="N21" s="786" t="str">
        <f>IF(ISNUMBER(F21),ROUND(F21,0),"")</f>
        <v/>
      </c>
    </row>
    <row r="22" spans="1:14" s="785" customFormat="1" ht="4.05" customHeight="1" x14ac:dyDescent="0.2">
      <c r="A22" s="787"/>
      <c r="B22" s="787"/>
      <c r="C22" s="1173"/>
      <c r="D22" s="852"/>
      <c r="E22" s="774"/>
      <c r="F22" s="780"/>
      <c r="G22" s="781"/>
    </row>
    <row r="23" spans="1:14" s="785" customFormat="1" ht="30" customHeight="1" x14ac:dyDescent="0.2">
      <c r="A23" s="809" t="s">
        <v>1033</v>
      </c>
      <c r="B23" s="847" t="s">
        <v>672</v>
      </c>
      <c r="C23" s="1171"/>
      <c r="D23" s="877" t="s">
        <v>1034</v>
      </c>
      <c r="E23" s="838"/>
      <c r="F23" s="1172"/>
      <c r="G23" s="792" t="str">
        <f>IF(AND(ISBLANK(F23),C23="x",$N$8&gt;0),"Attenzione: domanda a risposta obbligatoria",IF(ISBLANK(F23),"",IF(ISNUMBER(F23),IF(F23-INT(F23)=0,"","  Errore ! Inserire un numero intero senza decimali"),"  Errore ! Inserire un numero intero senza decimali")))</f>
        <v/>
      </c>
      <c r="K23" s="786" t="str">
        <f>LEFT(A23,3)</f>
        <v>GEN</v>
      </c>
      <c r="L23" s="786" t="str">
        <f>RIGHT(A23,3)</f>
        <v>475</v>
      </c>
      <c r="M23" s="786" t="str">
        <f>B23</f>
        <v>INT</v>
      </c>
      <c r="N23" s="786" t="str">
        <f>IF(ISNUMBER(F23),ROUND(F23,0),"")</f>
        <v/>
      </c>
    </row>
    <row r="24" spans="1:14" s="785" customFormat="1" ht="4.3499999999999996" customHeight="1" x14ac:dyDescent="0.2">
      <c r="A24" s="784"/>
      <c r="B24" s="784"/>
      <c r="C24" s="891"/>
      <c r="D24" s="774"/>
      <c r="E24" s="774"/>
      <c r="F24" s="775"/>
      <c r="G24" s="781"/>
    </row>
    <row r="25" spans="1:14" s="785" customFormat="1" ht="30" customHeight="1" x14ac:dyDescent="0.2">
      <c r="A25" s="1136" t="s">
        <v>674</v>
      </c>
      <c r="B25" s="1136"/>
      <c r="C25" s="1141"/>
      <c r="D25" s="1137" t="s">
        <v>769</v>
      </c>
      <c r="E25" s="1136"/>
      <c r="F25" s="1138"/>
      <c r="G25" s="781"/>
    </row>
    <row r="26" spans="1:14" s="837" customFormat="1" ht="4.3499999999999996" customHeight="1" x14ac:dyDescent="0.2">
      <c r="A26" s="839"/>
      <c r="B26" s="839"/>
      <c r="C26" s="890"/>
      <c r="D26" s="853"/>
      <c r="E26" s="848"/>
      <c r="F26" s="849"/>
      <c r="G26" s="854"/>
    </row>
    <row r="27" spans="1:14" s="785" customFormat="1" ht="30" customHeight="1" x14ac:dyDescent="0.2">
      <c r="A27" s="834" t="s">
        <v>878</v>
      </c>
      <c r="B27" s="836" t="s">
        <v>672</v>
      </c>
      <c r="C27" s="891" t="s">
        <v>932</v>
      </c>
      <c r="D27" s="835" t="s">
        <v>879</v>
      </c>
      <c r="F27" s="1143"/>
      <c r="G27" s="792" t="str">
        <f>IF(AND(ISBLANK(F27),C27="x",$N$8&gt;0),"Attenzione: domanda a risposta obbligatoria",IF(ISBLANK(F27),"",IF(ISNUMBER(F27),IF(F27-INT(F27)=0,"","  Errore ! Inserire un numero intero senza decimali"),"  Errore ! Inserire un numero intero senza decimali")))</f>
        <v/>
      </c>
      <c r="K27" s="786" t="str">
        <f>LEFT(A27,3)</f>
        <v>LEG</v>
      </c>
      <c r="L27" s="786" t="str">
        <f>RIGHT(A27,3)</f>
        <v>428</v>
      </c>
      <c r="M27" s="786" t="str">
        <f>B27</f>
        <v>INT</v>
      </c>
      <c r="N27" s="786" t="str">
        <f>IF(ISNUMBER(F27),ROUND(F27,0),"")</f>
        <v/>
      </c>
    </row>
    <row r="28" spans="1:14" s="785" customFormat="1" ht="4.3499999999999996" customHeight="1" x14ac:dyDescent="0.2">
      <c r="A28" s="852"/>
      <c r="B28" s="852"/>
      <c r="C28" s="891"/>
      <c r="D28" s="852"/>
      <c r="E28" s="774"/>
      <c r="F28" s="775"/>
      <c r="G28" s="781"/>
    </row>
    <row r="29" spans="1:14" s="785" customFormat="1" ht="30" customHeight="1" x14ac:dyDescent="0.2">
      <c r="A29" s="809" t="s">
        <v>841</v>
      </c>
      <c r="B29" s="847" t="s">
        <v>672</v>
      </c>
      <c r="C29" s="891"/>
      <c r="D29" s="877" t="s">
        <v>933</v>
      </c>
      <c r="E29" s="1151"/>
      <c r="F29" s="1152"/>
      <c r="G29" s="792" t="str">
        <f>IF(AND(ISBLANK(F29),C29="x",$N$8&gt;0),"Attenzione: domanda a risposta obbligatoria",IF(ISBLANK(F29),"",IF(ISNUMBER(F29),IF(F29-INT(F29)=0,"","  Errore ! Inserire un numero intero senza decimali"),"  Errore ! Inserire un numero intero senza decimali")))</f>
        <v/>
      </c>
      <c r="K29" s="786" t="str">
        <f>LEFT(A29,3)</f>
        <v>LEG</v>
      </c>
      <c r="L29" s="786" t="str">
        <f>RIGHT(A29,3)</f>
        <v>398</v>
      </c>
      <c r="M29" s="786" t="str">
        <f>B29</f>
        <v>INT</v>
      </c>
      <c r="N29" s="786" t="str">
        <f>IF(ISNUMBER(F29),ROUND(F29,0),"")</f>
        <v/>
      </c>
    </row>
    <row r="30" spans="1:14" s="785" customFormat="1" ht="4.3499999999999996" customHeight="1" x14ac:dyDescent="0.2">
      <c r="A30" s="774"/>
      <c r="B30" s="774"/>
      <c r="C30" s="891"/>
      <c r="D30" s="774"/>
      <c r="E30" s="774"/>
      <c r="F30" s="775"/>
      <c r="G30" s="781"/>
    </row>
    <row r="31" spans="1:14" s="785" customFormat="1" ht="30" customHeight="1" x14ac:dyDescent="0.2">
      <c r="A31" s="809" t="s">
        <v>842</v>
      </c>
      <c r="B31" s="847" t="s">
        <v>672</v>
      </c>
      <c r="C31" s="891"/>
      <c r="D31" s="810" t="s">
        <v>843</v>
      </c>
      <c r="E31" s="1174"/>
      <c r="F31" s="1175"/>
      <c r="G31" s="792" t="str">
        <f>IF(AND(ISBLANK(F31),C31="x",$N$8&gt;0),"Attenzione: domanda a risposta obbligatoria",IF(ISBLANK(F31),"",IF(ISNUMBER(F31),IF(F31-INT(F31)=0,"","  Errore ! Inserire un numero intero senza decimali"),"  Errore ! Inserire un numero intero senza decimali")))</f>
        <v/>
      </c>
      <c r="K31" s="786" t="str">
        <f>LEFT(A31,3)</f>
        <v>LEG</v>
      </c>
      <c r="L31" s="786" t="str">
        <f>RIGHT(A31,3)</f>
        <v>406</v>
      </c>
      <c r="M31" s="786" t="str">
        <f>B31</f>
        <v>INT</v>
      </c>
      <c r="N31" s="786" t="str">
        <f>IF(ISNUMBER(F31),ROUND(F31,0),"")</f>
        <v/>
      </c>
    </row>
    <row r="32" spans="1:14" s="785" customFormat="1" ht="4.3499999999999996" customHeight="1" x14ac:dyDescent="0.2">
      <c r="A32" s="774"/>
      <c r="B32" s="774"/>
      <c r="C32" s="891"/>
      <c r="D32" s="774"/>
      <c r="E32" s="774"/>
      <c r="F32" s="775"/>
      <c r="G32" s="789"/>
    </row>
    <row r="33" spans="1:14" s="785" customFormat="1" ht="30" customHeight="1" x14ac:dyDescent="0.2">
      <c r="A33" s="809" t="s">
        <v>770</v>
      </c>
      <c r="B33" s="847" t="s">
        <v>672</v>
      </c>
      <c r="C33" s="891"/>
      <c r="D33" s="810" t="s">
        <v>771</v>
      </c>
      <c r="E33" s="838"/>
      <c r="F33" s="1172"/>
      <c r="G33" s="792" t="str">
        <f>IF(AND(ISBLANK(F33),C33="x",$N$8&gt;0),"Attenzione: domanda a risposta obbligatoria",IF(ISBLANK(F33),"",IF(ISNUMBER(F33),IF(F33-INT(F33)=0,"","  Errore ! Inserire un numero intero senza decimali"),"  Errore ! Inserire un numero intero senza decimali")))</f>
        <v/>
      </c>
      <c r="K33" s="786" t="str">
        <f>LEFT(A33,3)</f>
        <v>LEG</v>
      </c>
      <c r="L33" s="786" t="str">
        <f>RIGHT(A33,3)</f>
        <v>362</v>
      </c>
      <c r="M33" s="786" t="str">
        <f>B33</f>
        <v>INT</v>
      </c>
      <c r="N33" s="786" t="str">
        <f>IF(ISNUMBER(F33),ROUND(F33,0),"")</f>
        <v/>
      </c>
    </row>
    <row r="34" spans="1:14" s="785" customFormat="1" ht="4.3499999999999996" customHeight="1" x14ac:dyDescent="0.2">
      <c r="A34" s="777"/>
      <c r="B34" s="777"/>
      <c r="C34" s="891"/>
      <c r="D34" s="774"/>
      <c r="E34" s="774"/>
      <c r="F34" s="780"/>
      <c r="G34" s="781"/>
    </row>
    <row r="35" spans="1:14" s="785" customFormat="1" ht="30" customHeight="1" x14ac:dyDescent="0.2">
      <c r="A35" s="809" t="s">
        <v>772</v>
      </c>
      <c r="B35" s="847" t="s">
        <v>672</v>
      </c>
      <c r="C35" s="891"/>
      <c r="D35" s="810" t="s">
        <v>773</v>
      </c>
      <c r="E35" s="773"/>
      <c r="F35" s="1153"/>
      <c r="G35" s="792" t="str">
        <f>IF(AND(ISBLANK(F35),C35="x",$N$8&gt;0),"Attenzione: domanda a risposta obbligatoria",IF(ISBLANK(F35),"",IF(ISNUMBER(F35),IF(F35-INT(F35)=0,"","  Errore ! Inserire un numero intero senza decimali"),"  Errore ! Inserire un numero intero senza decimali")))</f>
        <v/>
      </c>
      <c r="K35" s="786" t="str">
        <f>LEFT(A35,3)</f>
        <v>LEG</v>
      </c>
      <c r="L35" s="786" t="str">
        <f>RIGHT(A35,3)</f>
        <v>364</v>
      </c>
      <c r="M35" s="786" t="str">
        <f>B35</f>
        <v>INT</v>
      </c>
      <c r="N35" s="786" t="str">
        <f>IF(ISNUMBER(F35),ROUND(F35,0),"")</f>
        <v/>
      </c>
    </row>
    <row r="36" spans="1:14" s="785" customFormat="1" ht="4.3499999999999996" customHeight="1" x14ac:dyDescent="0.2">
      <c r="A36" s="803"/>
      <c r="B36" s="803"/>
      <c r="C36" s="891"/>
      <c r="D36" s="811"/>
      <c r="E36" s="800"/>
      <c r="F36" s="806"/>
      <c r="G36" s="807"/>
    </row>
    <row r="37" spans="1:14" s="785" customFormat="1" ht="30" customHeight="1" x14ac:dyDescent="0.2">
      <c r="A37" s="1136" t="s">
        <v>675</v>
      </c>
      <c r="B37" s="1136"/>
      <c r="C37" s="1141"/>
      <c r="D37" s="1137" t="s">
        <v>676</v>
      </c>
      <c r="E37" s="1136"/>
      <c r="F37" s="1138"/>
      <c r="G37" s="807"/>
    </row>
    <row r="38" spans="1:14" s="785" customFormat="1" ht="4.3499999999999996" customHeight="1" x14ac:dyDescent="0.2">
      <c r="A38" s="800"/>
      <c r="B38" s="800"/>
      <c r="C38" s="891"/>
      <c r="D38" s="800"/>
      <c r="E38" s="800"/>
      <c r="F38" s="801"/>
      <c r="G38" s="807"/>
    </row>
    <row r="39" spans="1:14" s="785" customFormat="1" ht="30" customHeight="1" x14ac:dyDescent="0.2">
      <c r="A39" s="809" t="s">
        <v>1035</v>
      </c>
      <c r="B39" s="847" t="s">
        <v>672</v>
      </c>
      <c r="C39" s="1171"/>
      <c r="D39" s="810" t="s">
        <v>1036</v>
      </c>
      <c r="F39" s="1143"/>
      <c r="G39" s="792" t="str">
        <f>IF(AND(ISBLANK(F39),C39="x",$N$8&gt;0),"Attenzione: domanda a risposta obbligatoria",IF(ISBLANK(F39),"",IF(ISNUMBER(F39),IF(F39-INT(F39)=0,"","  Errore ! Inserire un numero intero senza decimali"),"  Errore ! Inserire un numero intero senza decimali")))</f>
        <v/>
      </c>
      <c r="K39" s="786" t="str">
        <f>LEFT(A39,3)</f>
        <v>ORG</v>
      </c>
      <c r="L39" s="786" t="str">
        <f>RIGHT(A39,3)</f>
        <v>460</v>
      </c>
      <c r="M39" s="786" t="str">
        <f>B39</f>
        <v>INT</v>
      </c>
      <c r="N39" s="786" t="str">
        <f>IF(ISNUMBER(F39),ROUND(F39,0),"")</f>
        <v/>
      </c>
    </row>
    <row r="40" spans="1:14" s="785" customFormat="1" ht="4.05" customHeight="1" x14ac:dyDescent="0.2">
      <c r="A40" s="809"/>
      <c r="B40" s="809"/>
      <c r="C40" s="891"/>
      <c r="D40" s="866"/>
      <c r="E40" s="800"/>
      <c r="F40" s="806"/>
      <c r="G40" s="781"/>
    </row>
    <row r="41" spans="1:14" s="785" customFormat="1" ht="30" customHeight="1" x14ac:dyDescent="0.2">
      <c r="A41" s="809" t="s">
        <v>1037</v>
      </c>
      <c r="B41" s="847" t="s">
        <v>672</v>
      </c>
      <c r="C41" s="1171"/>
      <c r="D41" s="810" t="s">
        <v>1038</v>
      </c>
      <c r="F41" s="1143"/>
      <c r="G41" s="792" t="str">
        <f>IF(AND(ISBLANK(F41),C41="x",$N$8&gt;0),"Attenzione: domanda a risposta obbligatoria",IF(ISBLANK(F41),"",IF(ISNUMBER(F41),IF(F41-INT(F41)=0,"","  Errore ! Inserire un numero intero senza decimali"),"  Errore ! Inserire un numero intero senza decimali")))</f>
        <v/>
      </c>
      <c r="K41" s="786" t="str">
        <f>LEFT(A41,3)</f>
        <v>ORG</v>
      </c>
      <c r="L41" s="786" t="str">
        <f>RIGHT(A41,3)</f>
        <v>461</v>
      </c>
      <c r="M41" s="786" t="str">
        <f>B41</f>
        <v>INT</v>
      </c>
      <c r="N41" s="786" t="str">
        <f>IF(ISNUMBER(F41),ROUND(F41,0),"")</f>
        <v/>
      </c>
    </row>
    <row r="42" spans="1:14" s="785" customFormat="1" ht="4.05" customHeight="1" x14ac:dyDescent="0.2">
      <c r="A42" s="809"/>
      <c r="B42" s="809"/>
      <c r="C42" s="891"/>
      <c r="D42" s="866"/>
      <c r="E42" s="800"/>
      <c r="F42" s="806"/>
      <c r="G42" s="781"/>
    </row>
    <row r="43" spans="1:14" s="785" customFormat="1" ht="30" customHeight="1" x14ac:dyDescent="0.2">
      <c r="A43" s="809" t="s">
        <v>1039</v>
      </c>
      <c r="B43" s="847" t="s">
        <v>672</v>
      </c>
      <c r="C43" s="1171"/>
      <c r="D43" s="810" t="s">
        <v>1197</v>
      </c>
      <c r="F43" s="1143"/>
      <c r="G43" s="792" t="str">
        <f>IF(AND(ISBLANK(F43),C43="x",$N$8&gt;0),"Attenzione: domanda a risposta obbligatoria",IF(ISBLANK(F43),"",IF(ISNUMBER(F43),IF(F43-INT(F43)=0,"","  Errore ! Inserire un numero intero senza decimali"),"  Errore ! Inserire un numero intero senza decimali")))</f>
        <v/>
      </c>
      <c r="K43" s="786" t="str">
        <f>LEFT(A43,3)</f>
        <v>ORG</v>
      </c>
      <c r="L43" s="786" t="str">
        <f>RIGHT(A43,3)</f>
        <v>462</v>
      </c>
      <c r="M43" s="786" t="str">
        <f>B43</f>
        <v>INT</v>
      </c>
      <c r="N43" s="786" t="str">
        <f>IF(ISNUMBER(F43),ROUND(F43,0),"")</f>
        <v/>
      </c>
    </row>
    <row r="44" spans="1:14" s="785" customFormat="1" ht="4.05" customHeight="1" x14ac:dyDescent="0.2">
      <c r="A44" s="809"/>
      <c r="B44" s="809"/>
      <c r="C44" s="891"/>
      <c r="D44" s="866"/>
      <c r="E44" s="800"/>
      <c r="F44" s="806"/>
      <c r="G44" s="781"/>
    </row>
    <row r="45" spans="1:14" s="785" customFormat="1" ht="30" customHeight="1" x14ac:dyDescent="0.2">
      <c r="A45" s="809" t="s">
        <v>1040</v>
      </c>
      <c r="B45" s="847" t="s">
        <v>672</v>
      </c>
      <c r="C45" s="1171"/>
      <c r="D45" s="810" t="s">
        <v>1167</v>
      </c>
      <c r="F45" s="1143"/>
      <c r="G45" s="792" t="str">
        <f>IF(AND(ISBLANK(F45),C45="x",$N$8&gt;0),"Attenzione: domanda a risposta obbligatoria",IF(ISBLANK(F45),"",IF(ISNUMBER(F45),IF(F45-INT(F45)=0,"","  Errore ! Inserire un numero intero senza decimali"),"  Errore ! Inserire un numero intero senza decimali")))</f>
        <v/>
      </c>
      <c r="K45" s="786" t="str">
        <f>LEFT(A45,3)</f>
        <v>ORG</v>
      </c>
      <c r="L45" s="786" t="str">
        <f>RIGHT(A45,3)</f>
        <v>463</v>
      </c>
      <c r="M45" s="786" t="str">
        <f>B45</f>
        <v>INT</v>
      </c>
      <c r="N45" s="786" t="str">
        <f>IF(ISNUMBER(F45),ROUND(F45,0),"")</f>
        <v/>
      </c>
    </row>
    <row r="46" spans="1:14" s="785" customFormat="1" ht="4.05" customHeight="1" x14ac:dyDescent="0.2">
      <c r="A46" s="809"/>
      <c r="B46" s="809"/>
      <c r="C46" s="891"/>
      <c r="D46" s="866"/>
      <c r="E46" s="800"/>
      <c r="F46" s="806"/>
      <c r="G46" s="781"/>
    </row>
    <row r="47" spans="1:14" s="785" customFormat="1" ht="30" customHeight="1" x14ac:dyDescent="0.2">
      <c r="A47" s="809" t="s">
        <v>1041</v>
      </c>
      <c r="B47" s="847" t="s">
        <v>672</v>
      </c>
      <c r="C47" s="1171"/>
      <c r="D47" s="810" t="s">
        <v>1042</v>
      </c>
      <c r="F47" s="1143"/>
      <c r="G47" s="792" t="str">
        <f>IF(AND(ISBLANK(F47),C47="x",$N$8&gt;0),"Attenzione: domanda a risposta obbligatoria",IF(ISBLANK(F47),"",IF(ISNUMBER(F47),IF(F47-INT(F47)=0,"","  Errore ! Inserire un numero intero senza decimali"),"  Errore ! Inserire un numero intero senza decimali")))</f>
        <v/>
      </c>
      <c r="K47" s="786" t="str">
        <f>LEFT(A47,3)</f>
        <v>ORG</v>
      </c>
      <c r="L47" s="786" t="str">
        <f>RIGHT(A47,3)</f>
        <v>464</v>
      </c>
      <c r="M47" s="786" t="str">
        <f>B47</f>
        <v>INT</v>
      </c>
      <c r="N47" s="786" t="str">
        <f>IF(ISNUMBER(F47),ROUND(F47,0),"")</f>
        <v/>
      </c>
    </row>
    <row r="48" spans="1:14" s="785" customFormat="1" ht="4.05" customHeight="1" x14ac:dyDescent="0.2">
      <c r="A48" s="809"/>
      <c r="B48" s="809"/>
      <c r="C48" s="891"/>
      <c r="D48" s="866"/>
      <c r="E48" s="800"/>
      <c r="F48" s="806"/>
      <c r="G48" s="781"/>
    </row>
    <row r="49" spans="1:14" s="785" customFormat="1" ht="30" customHeight="1" x14ac:dyDescent="0.2">
      <c r="A49" s="809" t="s">
        <v>1043</v>
      </c>
      <c r="B49" s="847" t="s">
        <v>672</v>
      </c>
      <c r="C49" s="1171"/>
      <c r="D49" s="810" t="s">
        <v>1044</v>
      </c>
      <c r="F49" s="1143"/>
      <c r="G49" s="792" t="str">
        <f>IF(AND(ISBLANK(F49),C49="x",$N$8&gt;0),"Attenzione: domanda a risposta obbligatoria",IF(ISBLANK(F49),"",IF(ISNUMBER(F49),IF(F49-INT(F49)=0,"","  Errore ! Inserire un numero intero senza decimali"),"  Errore ! Inserire un numero intero senza decimali")))</f>
        <v/>
      </c>
      <c r="K49" s="786" t="str">
        <f>LEFT(A49,3)</f>
        <v>ORG</v>
      </c>
      <c r="L49" s="786" t="str">
        <f>RIGHT(A49,3)</f>
        <v>465</v>
      </c>
      <c r="M49" s="786" t="str">
        <f>B49</f>
        <v>INT</v>
      </c>
      <c r="N49" s="786" t="str">
        <f>IF(ISNUMBER(F49),ROUND(F49,0),"")</f>
        <v/>
      </c>
    </row>
    <row r="50" spans="1:14" s="785" customFormat="1" ht="4.05" customHeight="1" x14ac:dyDescent="0.2">
      <c r="A50" s="803"/>
      <c r="B50" s="803"/>
      <c r="C50" s="891"/>
      <c r="D50" s="800"/>
      <c r="E50" s="800"/>
      <c r="F50" s="806"/>
      <c r="G50" s="781"/>
    </row>
    <row r="51" spans="1:14" s="785" customFormat="1" ht="4.3499999999999996" customHeight="1" x14ac:dyDescent="0.2">
      <c r="A51" s="803"/>
      <c r="B51" s="803"/>
      <c r="C51" s="891"/>
      <c r="D51" s="800"/>
      <c r="E51" s="800"/>
      <c r="F51" s="806"/>
      <c r="G51" s="807"/>
    </row>
    <row r="52" spans="1:14" s="785" customFormat="1" ht="30" customHeight="1" x14ac:dyDescent="0.2">
      <c r="A52" s="1136" t="s">
        <v>717</v>
      </c>
      <c r="B52" s="1136"/>
      <c r="C52" s="1396"/>
      <c r="D52" s="1137" t="s">
        <v>1168</v>
      </c>
      <c r="E52" s="1136"/>
      <c r="F52" s="1138"/>
      <c r="G52" s="792"/>
    </row>
    <row r="53" spans="1:14" s="785" customFormat="1" ht="4.3499999999999996" customHeight="1" x14ac:dyDescent="0.2">
      <c r="A53" s="866"/>
      <c r="B53" s="866"/>
      <c r="C53" s="1397"/>
      <c r="D53" s="866"/>
      <c r="E53" s="800"/>
      <c r="F53" s="801"/>
      <c r="G53" s="807"/>
    </row>
    <row r="54" spans="1:14" s="785" customFormat="1" ht="30" customHeight="1" x14ac:dyDescent="0.2">
      <c r="A54" s="809" t="s">
        <v>1169</v>
      </c>
      <c r="B54" s="847" t="s">
        <v>672</v>
      </c>
      <c r="C54" s="1151"/>
      <c r="D54" s="810" t="s">
        <v>1170</v>
      </c>
      <c r="F54" s="1143"/>
      <c r="G54" s="792" t="str">
        <f>IF(AND(ISBLANK(F54),C54="x",$N$8&gt;0),"Attenzione: domanda a risposta obbligatoria",IF(ISBLANK(F54),"",IF(ISNUMBER(F54),IF(F54-INT(F54)=0,"","  Errore ! Inserire un numero intero senza decimali"),"  Errore ! Inserire un numero intero senza decimali")))</f>
        <v/>
      </c>
      <c r="K54" s="786" t="str">
        <f>LEFT(A54,3)</f>
        <v>PEO</v>
      </c>
      <c r="L54" s="786" t="str">
        <f>RIGHT(A54,3)</f>
        <v>484</v>
      </c>
      <c r="M54" s="786" t="str">
        <f>B54</f>
        <v>INT</v>
      </c>
      <c r="N54" s="786" t="str">
        <f>IF(ISNUMBER(F54),ROUND(F54,0),"")</f>
        <v/>
      </c>
    </row>
    <row r="55" spans="1:14" s="785" customFormat="1" ht="4.3499999999999996" customHeight="1" x14ac:dyDescent="0.2">
      <c r="A55" s="809"/>
      <c r="B55" s="809"/>
      <c r="C55" s="1151"/>
      <c r="D55" s="866"/>
      <c r="E55" s="800"/>
      <c r="F55" s="806"/>
      <c r="G55" s="807"/>
    </row>
    <row r="56" spans="1:14" s="785" customFormat="1" ht="30" customHeight="1" x14ac:dyDescent="0.2">
      <c r="A56" s="1398" t="s">
        <v>1171</v>
      </c>
      <c r="B56" s="847" t="s">
        <v>672</v>
      </c>
      <c r="C56" s="1397"/>
      <c r="D56" s="1383" t="s">
        <v>1172</v>
      </c>
      <c r="F56" s="1143"/>
      <c r="G56" s="792" t="str">
        <f>IF(AND(ISBLANK(F56),C56="x",$N$8&gt;0),"Attenzione: domanda a risposta obbligatoria",IF(ISBLANK(F56),"",IF(ISNUMBER(F56),IF(F56-INT(F56)=0,"","  Errore ! Inserire un numero intero senza decimali"),"  Errore ! Inserire un numero intero senza decimali")))</f>
        <v/>
      </c>
      <c r="K56" s="786" t="str">
        <f>LEFT(A56,3)</f>
        <v>PEO</v>
      </c>
      <c r="L56" s="786" t="str">
        <f>RIGHT(A56,3)</f>
        <v>483</v>
      </c>
      <c r="M56" s="786" t="str">
        <f>B56</f>
        <v>INT</v>
      </c>
      <c r="N56" s="786" t="str">
        <f>IF(ISNUMBER(F56),ROUND(F56,0),"")</f>
        <v/>
      </c>
    </row>
    <row r="57" spans="1:14" s="785" customFormat="1" ht="4.3499999999999996" customHeight="1" x14ac:dyDescent="0.2">
      <c r="A57" s="803"/>
      <c r="B57" s="803"/>
      <c r="C57" s="891"/>
      <c r="D57" s="800"/>
      <c r="E57" s="800"/>
      <c r="F57" s="806"/>
      <c r="G57" s="789"/>
    </row>
    <row r="58" spans="1:14" s="785" customFormat="1" ht="30" customHeight="1" x14ac:dyDescent="0.2">
      <c r="A58" s="803" t="s">
        <v>718</v>
      </c>
      <c r="B58" s="804" t="s">
        <v>672</v>
      </c>
      <c r="C58" s="891"/>
      <c r="D58" s="1383" t="s">
        <v>1173</v>
      </c>
      <c r="F58" s="1143"/>
      <c r="G58" s="792" t="str">
        <f>IF(AND(ISBLANK(F58),C58="x",$N$8&gt;0),"Attenzione: domanda a risposta obbligatoria",IF(ISBLANK(F58),"",IF(ISNUMBER(F58),IF(F58-INT(F58)=0,"","  Errore ! Inserire un numero intero senza decimali"),"  Errore ! Inserire un numero intero senza decimali")))</f>
        <v/>
      </c>
      <c r="K58" s="786" t="str">
        <f>LEFT(A58,3)</f>
        <v>PEO</v>
      </c>
      <c r="L58" s="786" t="str">
        <f>RIGHT(A58,3)</f>
        <v>188</v>
      </c>
      <c r="M58" s="786" t="str">
        <f>B58</f>
        <v>INT</v>
      </c>
      <c r="N58" s="786" t="str">
        <f>IF(ISNUMBER(F58),ROUND(F58,0),"")</f>
        <v/>
      </c>
    </row>
    <row r="59" spans="1:14" s="785" customFormat="1" ht="4.3499999999999996" customHeight="1" x14ac:dyDescent="0.2">
      <c r="A59" s="803"/>
      <c r="B59" s="803"/>
      <c r="C59" s="891"/>
      <c r="D59" s="800"/>
      <c r="E59" s="800"/>
      <c r="F59" s="806"/>
      <c r="G59" s="813"/>
    </row>
    <row r="60" spans="1:14" s="785" customFormat="1" ht="30" customHeight="1" x14ac:dyDescent="0.2">
      <c r="A60" s="803" t="s">
        <v>719</v>
      </c>
      <c r="B60" s="804" t="s">
        <v>669</v>
      </c>
      <c r="C60" s="891"/>
      <c r="D60" s="835" t="s">
        <v>1174</v>
      </c>
      <c r="F60" s="805"/>
      <c r="G60" s="792" t="str">
        <f>IF(AND(ISBLANK(F60),C60="x",$N$8&gt;0),"Attenzione: domanda a risposta obbligatoria",IF(ISBLANK(F60),"",IF(AND(LEN(F60)=1,OR(UPPER(F60)="N",UPPER(F60)="S")),"",IF(ISBLANK(F60),"","  Errore ! Inserire S o N"))))</f>
        <v/>
      </c>
      <c r="K60" s="786" t="str">
        <f>LEFT(A60,3)</f>
        <v>PEO</v>
      </c>
      <c r="L60" s="786" t="str">
        <f>RIGHT(A60,3)</f>
        <v>119</v>
      </c>
      <c r="M60" s="786" t="str">
        <f>B60</f>
        <v>FLAG</v>
      </c>
      <c r="N60" s="786" t="str">
        <f>IF(AND(LEN(F60)=1,OR(UPPER(F60)="N",UPPER(F60)="S")),UPPER(F60),"")</f>
        <v/>
      </c>
    </row>
    <row r="61" spans="1:14" s="785" customFormat="1" ht="4.3499999999999996" customHeight="1" x14ac:dyDescent="0.2">
      <c r="A61" s="803"/>
      <c r="B61" s="803"/>
      <c r="C61" s="891"/>
      <c r="D61" s="800"/>
      <c r="E61" s="800"/>
      <c r="F61" s="806"/>
      <c r="G61" s="789"/>
    </row>
    <row r="62" spans="1:14" s="785" customFormat="1" ht="30" customHeight="1" x14ac:dyDescent="0.2">
      <c r="A62" s="809" t="s">
        <v>1045</v>
      </c>
      <c r="B62" s="847" t="s">
        <v>669</v>
      </c>
      <c r="C62" s="899"/>
      <c r="D62" s="810" t="s">
        <v>1175</v>
      </c>
      <c r="F62" s="805"/>
      <c r="G62" s="792" t="str">
        <f>IF(AND(ISBLANK(F62),C62="x",$N$8&gt;0),"Attenzione: domanda a risposta obbligatoria",IF(ISBLANK(F62),"",IF(AND(LEN(F62)=1,OR(UPPER(F62)="N",UPPER(F62)="S")),"",IF(ISBLANK(F62),"","  Errore ! Inserire S o N"))))</f>
        <v/>
      </c>
      <c r="K62" s="786" t="str">
        <f>LEFT(A62,3)</f>
        <v>PEO</v>
      </c>
      <c r="L62" s="786" t="str">
        <f>RIGHT(A62,3)</f>
        <v>473</v>
      </c>
      <c r="M62" s="786" t="str">
        <f>B62</f>
        <v>FLAG</v>
      </c>
      <c r="N62" s="786" t="str">
        <f>IF(AND(LEN(F62)=1,OR(UPPER(F62)="N",UPPER(F62)="S")),UPPER(F62),"")</f>
        <v/>
      </c>
    </row>
    <row r="63" spans="1:14" s="785" customFormat="1" ht="4.3499999999999996" customHeight="1" x14ac:dyDescent="0.2">
      <c r="A63" s="803"/>
      <c r="B63" s="803"/>
      <c r="C63" s="891"/>
      <c r="D63" s="800"/>
      <c r="E63" s="800"/>
      <c r="F63" s="806"/>
      <c r="G63" s="807"/>
    </row>
    <row r="64" spans="1:14" s="785" customFormat="1" ht="30" customHeight="1" x14ac:dyDescent="0.2">
      <c r="A64" s="803" t="s">
        <v>720</v>
      </c>
      <c r="B64" s="804" t="s">
        <v>672</v>
      </c>
      <c r="C64" s="891"/>
      <c r="D64" s="1156" t="s">
        <v>1176</v>
      </c>
      <c r="F64" s="1143"/>
      <c r="G64" s="792" t="str">
        <f>IF(AND(ISBLANK(F64),C64="x",$N$8&gt;0),"Attenzione: domanda a risposta obbligatoria",IF(ISBLANK(F64),"",IF(ISNUMBER(F64),IF(F64-INT(F64)=0,"","  Errore ! Inserire un numero intero senza decimali"),"  Errore ! Inserire un numero intero senza decimali")))</f>
        <v/>
      </c>
      <c r="K64" s="786" t="str">
        <f>LEFT(A64,3)</f>
        <v>PEO</v>
      </c>
      <c r="L64" s="786" t="str">
        <f>RIGHT(A64,3)</f>
        <v>133</v>
      </c>
      <c r="M64" s="786" t="str">
        <f>B64</f>
        <v>INT</v>
      </c>
      <c r="N64" s="786" t="str">
        <f>IF(ISNUMBER(F64),ROUND(F64,0),"")</f>
        <v/>
      </c>
    </row>
    <row r="65" spans="1:14" s="785" customFormat="1" ht="4.3499999999999996" customHeight="1" x14ac:dyDescent="0.2">
      <c r="A65" s="808"/>
      <c r="B65" s="808"/>
      <c r="C65" s="891"/>
      <c r="D65" s="800"/>
      <c r="E65" s="800"/>
      <c r="F65" s="801"/>
      <c r="G65" s="807"/>
    </row>
    <row r="66" spans="1:14" s="785" customFormat="1" ht="30" customHeight="1" x14ac:dyDescent="0.2">
      <c r="A66" s="1136" t="s">
        <v>691</v>
      </c>
      <c r="B66" s="1136"/>
      <c r="C66" s="1141"/>
      <c r="D66" s="1137" t="s">
        <v>815</v>
      </c>
      <c r="E66" s="1136"/>
      <c r="F66" s="1138"/>
      <c r="G66" s="792"/>
    </row>
    <row r="67" spans="1:14" s="785" customFormat="1" ht="4.3499999999999996" customHeight="1" x14ac:dyDescent="0.2">
      <c r="A67" s="800"/>
      <c r="B67" s="800"/>
      <c r="C67" s="891"/>
      <c r="D67" s="800"/>
      <c r="E67" s="800"/>
      <c r="F67" s="801"/>
      <c r="G67" s="807"/>
    </row>
    <row r="68" spans="1:14" s="785" customFormat="1" ht="30" customHeight="1" x14ac:dyDescent="0.2">
      <c r="A68" s="809" t="s">
        <v>780</v>
      </c>
      <c r="B68" s="847" t="s">
        <v>669</v>
      </c>
      <c r="C68" s="891"/>
      <c r="D68" s="810" t="s">
        <v>1177</v>
      </c>
      <c r="F68" s="805"/>
      <c r="G68" s="792" t="str">
        <f>IF(AND(ISBLANK(F68),C68="x",$N$8&gt;0),"Attenzione: domanda a risposta obbligatoria",IF(ISBLANK(F68),"",IF(AND(LEN(F68)=1,OR(UPPER(F68)="N",UPPER(F68)="S")),"",IF(ISBLANK(F68),"","  Errore ! Inserire S o N"))))</f>
        <v/>
      </c>
      <c r="K68" s="786" t="str">
        <f>LEFT(A68,3)</f>
        <v>PRD</v>
      </c>
      <c r="L68" s="786" t="str">
        <f>RIGHT(A68,3)</f>
        <v>396</v>
      </c>
      <c r="M68" s="786" t="str">
        <f>B68</f>
        <v>FLAG</v>
      </c>
      <c r="N68" s="786" t="str">
        <f>IF(AND(LEN(F68)=1,OR(UPPER(F68)="N",UPPER(F68)="S")),UPPER(F68),"")</f>
        <v/>
      </c>
    </row>
    <row r="69" spans="1:14" s="785" customFormat="1" ht="4.3499999999999996" customHeight="1" x14ac:dyDescent="0.2">
      <c r="A69" s="800"/>
      <c r="B69" s="800"/>
      <c r="C69" s="891"/>
      <c r="D69" s="800"/>
      <c r="E69" s="800"/>
      <c r="F69" s="801"/>
      <c r="G69" s="807"/>
    </row>
    <row r="70" spans="1:14" s="785" customFormat="1" ht="30" customHeight="1" x14ac:dyDescent="0.2">
      <c r="A70" s="809" t="s">
        <v>1046</v>
      </c>
      <c r="B70" s="847" t="s">
        <v>669</v>
      </c>
      <c r="C70" s="1176"/>
      <c r="D70" s="810" t="s">
        <v>1047</v>
      </c>
      <c r="F70" s="805"/>
      <c r="G70" s="792" t="str">
        <f>IF(AND(ISBLANK(F70),C70="x",$N$8&gt;0),"Attenzione: domanda a risposta obbligatoria",IF(ISBLANK(F70),"",IF(AND(LEN(F70)=1,OR(UPPER(F70)="N",UPPER(F70)="S")),"",IF(ISBLANK(F70),"","  Errore ! Inserire S o N"))))</f>
        <v/>
      </c>
      <c r="K70" s="786" t="str">
        <f>LEFT(A70,3)</f>
        <v>PRD</v>
      </c>
      <c r="L70" s="786" t="str">
        <f>RIGHT(A70,3)</f>
        <v>455</v>
      </c>
      <c r="M70" s="786" t="str">
        <f>B70</f>
        <v>FLAG</v>
      </c>
      <c r="N70" s="786" t="str">
        <f>IF(AND(LEN(F70)=1,OR(UPPER(F70)="N",UPPER(F70)="S")),UPPER(F70),"")</f>
        <v/>
      </c>
    </row>
    <row r="71" spans="1:14" s="785" customFormat="1" ht="4.3499999999999996" customHeight="1" x14ac:dyDescent="0.2">
      <c r="A71" s="809"/>
      <c r="B71" s="809"/>
      <c r="C71" s="1176"/>
      <c r="D71" s="866"/>
      <c r="E71" s="800"/>
      <c r="F71" s="806"/>
      <c r="G71" s="807"/>
    </row>
    <row r="72" spans="1:14" s="785" customFormat="1" ht="30" customHeight="1" x14ac:dyDescent="0.2">
      <c r="A72" s="809" t="s">
        <v>1048</v>
      </c>
      <c r="B72" s="847" t="s">
        <v>672</v>
      </c>
      <c r="C72" s="1176"/>
      <c r="D72" s="835" t="s">
        <v>1178</v>
      </c>
      <c r="F72" s="1143"/>
      <c r="G72" s="792" t="str">
        <f>IF(AND(ISBLANK(F72),C72="x",$N$8&gt;0),"Attenzione: domanda a risposta obbligatoria",IF(ISBLANK(F72),"",IF(ISNUMBER(F72),IF(F72-INT(F72)=0,"","  Errore ! Inserire un numero intero senza decimali"),"  Errore ! Inserire un numero intero senza decimali")))</f>
        <v/>
      </c>
      <c r="K72" s="786" t="str">
        <f>LEFT(A72,3)</f>
        <v>PRD</v>
      </c>
      <c r="L72" s="786" t="str">
        <f>RIGHT(A72,3)</f>
        <v>456</v>
      </c>
      <c r="M72" s="786" t="str">
        <f>B72</f>
        <v>INT</v>
      </c>
      <c r="N72" s="786" t="str">
        <f>IF(ISNUMBER(F72),ROUND(F72,0),"")</f>
        <v/>
      </c>
    </row>
    <row r="73" spans="1:14" s="785" customFormat="1" ht="4.3499999999999996" customHeight="1" x14ac:dyDescent="0.2">
      <c r="A73" s="809"/>
      <c r="B73" s="809"/>
      <c r="C73" s="1176"/>
      <c r="D73" s="866"/>
      <c r="E73" s="800"/>
      <c r="F73" s="806"/>
      <c r="G73" s="807"/>
    </row>
    <row r="74" spans="1:14" s="785" customFormat="1" ht="30" customHeight="1" x14ac:dyDescent="0.2">
      <c r="A74" s="809" t="s">
        <v>1049</v>
      </c>
      <c r="B74" s="847" t="s">
        <v>672</v>
      </c>
      <c r="C74" s="1176"/>
      <c r="D74" s="835" t="s">
        <v>1179</v>
      </c>
      <c r="F74" s="1143"/>
      <c r="G74" s="792" t="str">
        <f>IF(AND(ISBLANK(F74),C74="x",$N$8&gt;0),"Attenzione: domanda a risposta obbligatoria",IF(ISBLANK(F74),"",IF(ISNUMBER(F74),IF(F74-INT(F74)=0,"","  Errore ! Inserire un numero intero senza decimali"),"  Errore ! Inserire un numero intero senza decimali")))</f>
        <v/>
      </c>
      <c r="K74" s="786" t="str">
        <f>LEFT(A74,3)</f>
        <v>PRD</v>
      </c>
      <c r="L74" s="786" t="str">
        <f>RIGHT(A74,3)</f>
        <v>457</v>
      </c>
      <c r="M74" s="786" t="str">
        <f>B74</f>
        <v>INT</v>
      </c>
      <c r="N74" s="786" t="str">
        <f>IF(ISNUMBER(F74),ROUND(F74,0),"")</f>
        <v/>
      </c>
    </row>
    <row r="75" spans="1:14" s="785" customFormat="1" ht="4.3499999999999996" customHeight="1" x14ac:dyDescent="0.2">
      <c r="A75" s="809"/>
      <c r="B75" s="809"/>
      <c r="D75" s="866"/>
      <c r="E75" s="800"/>
      <c r="F75" s="806"/>
      <c r="G75" s="807"/>
    </row>
    <row r="76" spans="1:14" s="785" customFormat="1" ht="30" customHeight="1" x14ac:dyDescent="0.2">
      <c r="A76" s="809" t="s">
        <v>774</v>
      </c>
      <c r="B76" s="847" t="s">
        <v>672</v>
      </c>
      <c r="C76" s="891"/>
      <c r="D76" s="810" t="s">
        <v>775</v>
      </c>
      <c r="F76" s="1143"/>
      <c r="G76" s="792" t="str">
        <f>IF(AND(ISBLANK(F76),C76="x",$N$8&gt;0),"Attenzione: domanda a risposta obbligatoria",IF(ISBLANK(F76),"",IF(ISNUMBER(F76),IF(F76-INT(F76)=0,"","  Errore ! Inserire un numero intero senza decimali"),"  Errore ! Inserire un numero intero senza decimali")))</f>
        <v/>
      </c>
      <c r="K76" s="786" t="str">
        <f>LEFT(A76,3)</f>
        <v>PRD</v>
      </c>
      <c r="L76" s="786" t="str">
        <f>RIGHT(A76,3)</f>
        <v>368</v>
      </c>
      <c r="M76" s="786" t="str">
        <f>B76</f>
        <v>INT</v>
      </c>
      <c r="N76" s="786" t="str">
        <f>IF(ISNUMBER(F76),ROUND(F76,0),"")</f>
        <v/>
      </c>
    </row>
    <row r="77" spans="1:14" s="785" customFormat="1" ht="4.3499999999999996" customHeight="1" x14ac:dyDescent="0.2">
      <c r="A77" s="803"/>
      <c r="B77" s="803"/>
      <c r="C77" s="891"/>
      <c r="D77" s="800"/>
      <c r="E77" s="800"/>
      <c r="F77" s="806"/>
      <c r="G77" s="807"/>
    </row>
    <row r="78" spans="1:14" s="785" customFormat="1" ht="30" customHeight="1" x14ac:dyDescent="0.2">
      <c r="A78" s="809" t="s">
        <v>776</v>
      </c>
      <c r="B78" s="847" t="s">
        <v>672</v>
      </c>
      <c r="C78" s="891"/>
      <c r="D78" s="810" t="s">
        <v>777</v>
      </c>
      <c r="F78" s="1143"/>
      <c r="G78" s="792" t="str">
        <f>IF(AND(ISBLANK(F78),C78="x",$N$8&gt;0),"Attenzione: domanda a risposta obbligatoria",IF(ISBLANK(F78),"",IF(ISNUMBER(F78),IF(F78-INT(F78)=0,"","  Errore ! Inserire un numero intero senza decimali"),"  Errore ! Inserire un numero intero senza decimali")))</f>
        <v/>
      </c>
      <c r="K78" s="786" t="str">
        <f>LEFT(A78,3)</f>
        <v>PRD</v>
      </c>
      <c r="L78" s="786" t="str">
        <f>RIGHT(A78,3)</f>
        <v>369</v>
      </c>
      <c r="M78" s="786" t="str">
        <f>B78</f>
        <v>INT</v>
      </c>
      <c r="N78" s="786" t="str">
        <f>IF(ISNUMBER(F78),ROUND(F78,0),"")</f>
        <v/>
      </c>
    </row>
    <row r="79" spans="1:14" s="785" customFormat="1" ht="4.3499999999999996" customHeight="1" x14ac:dyDescent="0.2">
      <c r="A79" s="803"/>
      <c r="B79" s="803"/>
      <c r="C79" s="891"/>
      <c r="D79" s="800"/>
      <c r="E79" s="800"/>
      <c r="F79" s="806"/>
      <c r="G79" s="807"/>
    </row>
    <row r="80" spans="1:14" s="785" customFormat="1" ht="30" customHeight="1" x14ac:dyDescent="0.2">
      <c r="A80" s="809" t="s">
        <v>778</v>
      </c>
      <c r="B80" s="847" t="s">
        <v>672</v>
      </c>
      <c r="C80" s="891"/>
      <c r="D80" s="810" t="s">
        <v>779</v>
      </c>
      <c r="F80" s="1143"/>
      <c r="G80" s="792" t="str">
        <f>IF(AND(ISBLANK(F80),C80="x",$N$8&gt;0),"Attenzione: domanda a risposta obbligatoria",IF(ISBLANK(F80),"",IF(ISNUMBER(F80),IF(F80-INT(F80)=0,"","  Errore ! Inserire un numero intero senza decimali"),"  Errore ! Inserire un numero intero senza decimali")))</f>
        <v/>
      </c>
      <c r="K80" s="786" t="str">
        <f>LEFT(A80,3)</f>
        <v>PRD</v>
      </c>
      <c r="L80" s="786" t="str">
        <f>RIGHT(A80,3)</f>
        <v>370</v>
      </c>
      <c r="M80" s="786" t="str">
        <f>B80</f>
        <v>INT</v>
      </c>
      <c r="N80" s="786" t="str">
        <f>IF(ISNUMBER(F80),ROUND(F80,0),"")</f>
        <v/>
      </c>
    </row>
    <row r="81" spans="1:14" s="785" customFormat="1" ht="4.3499999999999996" customHeight="1" x14ac:dyDescent="0.2">
      <c r="A81" s="803"/>
      <c r="B81" s="803"/>
      <c r="C81" s="891"/>
      <c r="D81" s="800"/>
      <c r="E81" s="800"/>
      <c r="F81" s="806"/>
      <c r="G81" s="807"/>
    </row>
    <row r="82" spans="1:14" s="785" customFormat="1" ht="30" customHeight="1" x14ac:dyDescent="0.2">
      <c r="A82" s="803" t="s">
        <v>721</v>
      </c>
      <c r="B82" s="804" t="s">
        <v>672</v>
      </c>
      <c r="C82" s="891"/>
      <c r="D82" s="799" t="s">
        <v>831</v>
      </c>
      <c r="F82" s="1143"/>
      <c r="G82" s="792" t="str">
        <f>IF(AND(ISBLANK(F82),C82="x",$N$8&gt;0),"Attenzione: domanda a risposta obbligatoria",IF(ISBLANK(F82),"",IF(ISNUMBER(F82),IF(F82-INT(F82)=0,"","  Errore ! Inserire un numero intero senza decimali"),"  Errore ! Inserire un numero intero senza decimali")))</f>
        <v/>
      </c>
      <c r="K82" s="786" t="str">
        <f>LEFT(A82,3)</f>
        <v>PRD</v>
      </c>
      <c r="L82" s="786" t="str">
        <f>RIGHT(A82,3)</f>
        <v>287</v>
      </c>
      <c r="M82" s="786" t="str">
        <f>B82</f>
        <v>INT</v>
      </c>
      <c r="N82" s="786" t="str">
        <f>IF(ISNUMBER(F82),ROUND(F82,0),"")</f>
        <v/>
      </c>
    </row>
    <row r="83" spans="1:14" s="785" customFormat="1" ht="4.3499999999999996" customHeight="1" x14ac:dyDescent="0.2">
      <c r="A83" s="803"/>
      <c r="B83" s="803"/>
      <c r="C83" s="891"/>
      <c r="D83" s="800"/>
      <c r="E83" s="800"/>
      <c r="F83" s="806"/>
      <c r="G83" s="807"/>
    </row>
    <row r="84" spans="1:14" s="785" customFormat="1" ht="30" customHeight="1" x14ac:dyDescent="0.2">
      <c r="A84" s="803" t="s">
        <v>722</v>
      </c>
      <c r="B84" s="804" t="s">
        <v>672</v>
      </c>
      <c r="C84" s="891"/>
      <c r="D84" s="799" t="s">
        <v>832</v>
      </c>
      <c r="F84" s="1143"/>
      <c r="G84" s="792" t="str">
        <f>IF(AND(ISBLANK(F84),C84="x",$N$8&gt;0),"Attenzione: domanda a risposta obbligatoria",IF(ISBLANK(F84),"",IF(ISNUMBER(F84),IF(F84-INT(F84)=0,"","  Errore ! Inserire un numero intero senza decimali"),"  Errore ! Inserire un numero intero senza decimali")))</f>
        <v/>
      </c>
      <c r="K84" s="786" t="str">
        <f>LEFT(A84,3)</f>
        <v>PRD</v>
      </c>
      <c r="L84" s="786" t="str">
        <f>RIGHT(A84,3)</f>
        <v>134</v>
      </c>
      <c r="M84" s="786" t="str">
        <f>B84</f>
        <v>INT</v>
      </c>
      <c r="N84" s="786" t="str">
        <f>IF(ISNUMBER(F84),ROUND(F84,0),"")</f>
        <v/>
      </c>
    </row>
    <row r="85" spans="1:14" s="785" customFormat="1" ht="4.3499999999999996" customHeight="1" x14ac:dyDescent="0.2">
      <c r="A85" s="803"/>
      <c r="B85" s="803"/>
      <c r="C85" s="891"/>
      <c r="D85" s="800"/>
      <c r="E85" s="800"/>
      <c r="F85" s="806"/>
      <c r="G85" s="799"/>
    </row>
    <row r="86" spans="1:14" s="785" customFormat="1" ht="35.1" customHeight="1" x14ac:dyDescent="0.2">
      <c r="A86" s="1136" t="s">
        <v>1050</v>
      </c>
      <c r="B86" s="1136"/>
      <c r="C86" s="1141"/>
      <c r="D86" s="1137" t="s">
        <v>1051</v>
      </c>
      <c r="E86" s="1136"/>
      <c r="F86" s="1138"/>
      <c r="G86" s="792" t="str">
        <f>IF(AND(LEN(F86)=1,OR(UPPER(F86)="N",UPPER(F86)="S")),"",IF(ISBLANK(F86),"","  Errore ! Inserire S o N"))</f>
        <v/>
      </c>
    </row>
    <row r="87" spans="1:14" s="785" customFormat="1" ht="4.3499999999999996" customHeight="1" x14ac:dyDescent="0.2">
      <c r="A87" s="1170"/>
      <c r="B87" s="1170"/>
      <c r="C87" s="1176"/>
      <c r="D87" s="1177"/>
      <c r="E87" s="800"/>
      <c r="F87" s="806"/>
      <c r="G87" s="807"/>
    </row>
    <row r="88" spans="1:14" s="785" customFormat="1" ht="30" customHeight="1" x14ac:dyDescent="0.2">
      <c r="A88" s="809" t="s">
        <v>1052</v>
      </c>
      <c r="B88" s="847" t="s">
        <v>672</v>
      </c>
      <c r="C88" s="1176"/>
      <c r="D88" s="810" t="s">
        <v>1053</v>
      </c>
      <c r="F88" s="1143"/>
      <c r="G88" s="792" t="str">
        <f>IF(AND(ISBLANK(F88),C88="x",$N$8&gt;0),"Attenzione: domanda a risposta obbligatoria",IF(ISBLANK(F88),"",IF(ISNUMBER(F88),IF(F88-INT(F88)=0,"","  Errore ! Inserire un numero intero senza decimali"),"  Errore ! Inserire un numero intero senza decimali")))</f>
        <v/>
      </c>
      <c r="K88" s="786" t="str">
        <f>LEFT(A88,3)</f>
        <v>WLF</v>
      </c>
      <c r="L88" s="786" t="str">
        <f>RIGHT(A88,3)</f>
        <v>466</v>
      </c>
      <c r="M88" s="786" t="str">
        <f>B88</f>
        <v>INT</v>
      </c>
      <c r="N88" s="786" t="str">
        <f>IF(ISNUMBER(F88),ROUND(F88,0),"")</f>
        <v/>
      </c>
    </row>
    <row r="89" spans="1:14" s="785" customFormat="1" ht="4.3499999999999996" customHeight="1" x14ac:dyDescent="0.2">
      <c r="A89" s="809"/>
      <c r="B89" s="809"/>
      <c r="C89" s="1176"/>
      <c r="D89" s="866"/>
      <c r="E89" s="800"/>
      <c r="F89" s="806"/>
      <c r="G89" s="807"/>
    </row>
    <row r="90" spans="1:14" s="785" customFormat="1" ht="30" customHeight="1" x14ac:dyDescent="0.2">
      <c r="A90" s="809" t="s">
        <v>1054</v>
      </c>
      <c r="B90" s="847" t="s">
        <v>672</v>
      </c>
      <c r="C90" s="1176"/>
      <c r="D90" s="810" t="s">
        <v>1059</v>
      </c>
      <c r="F90" s="1143"/>
      <c r="G90" s="792" t="str">
        <f>IF(AND(ISBLANK(F90),C90="x",$N$8&gt;0),"Attenzione: domanda a risposta obbligatoria",IF(ISBLANK(F90),"",IF(ISNUMBER(F90),IF(F90-INT(F90)=0,"","  Errore ! Inserire un numero intero senza decimali"),"  Errore ! Inserire un numero intero senza decimali")))</f>
        <v/>
      </c>
      <c r="K90" s="786" t="str">
        <f>LEFT(A90,3)</f>
        <v>WLF</v>
      </c>
      <c r="L90" s="786" t="str">
        <f>RIGHT(A90,3)</f>
        <v>467</v>
      </c>
      <c r="M90" s="786" t="str">
        <f>B90</f>
        <v>INT</v>
      </c>
      <c r="N90" s="786" t="str">
        <f>IF(ISNUMBER(F90),ROUND(F90,0),"")</f>
        <v/>
      </c>
    </row>
    <row r="91" spans="1:14" s="785" customFormat="1" ht="4.3499999999999996" customHeight="1" x14ac:dyDescent="0.2">
      <c r="A91" s="809"/>
      <c r="B91" s="809"/>
      <c r="D91" s="866"/>
      <c r="E91" s="800"/>
      <c r="F91" s="806"/>
      <c r="G91" s="807"/>
    </row>
    <row r="92" spans="1:14" s="785" customFormat="1" ht="30" customHeight="1" x14ac:dyDescent="0.2">
      <c r="A92" s="809" t="s">
        <v>1055</v>
      </c>
      <c r="B92" s="847" t="s">
        <v>672</v>
      </c>
      <c r="C92" s="1176"/>
      <c r="D92" s="810" t="s">
        <v>1060</v>
      </c>
      <c r="F92" s="1143"/>
      <c r="G92" s="792" t="str">
        <f>IF(AND(ISBLANK(F92),C92="x",$N$8&gt;0),"Attenzione: domanda a risposta obbligatoria",IF(ISBLANK(F92),"",IF(ISNUMBER(F92),IF(F92-INT(F92)=0,"","  Errore ! Inserire un numero intero senza decimali"),"  Errore ! Inserire un numero intero senza decimali")))</f>
        <v/>
      </c>
      <c r="K92" s="786" t="str">
        <f>LEFT(A92,3)</f>
        <v>WLF</v>
      </c>
      <c r="L92" s="786" t="str">
        <f>RIGHT(A92,3)</f>
        <v>468</v>
      </c>
      <c r="M92" s="786" t="str">
        <f>B92</f>
        <v>INT</v>
      </c>
      <c r="N92" s="786" t="str">
        <f>IF(ISNUMBER(F92),ROUND(F92,0),"")</f>
        <v/>
      </c>
    </row>
    <row r="93" spans="1:14" s="785" customFormat="1" ht="4.3499999999999996" customHeight="1" x14ac:dyDescent="0.2">
      <c r="A93" s="809"/>
      <c r="B93" s="809"/>
      <c r="D93" s="866"/>
      <c r="E93" s="800"/>
      <c r="F93" s="806"/>
      <c r="G93" s="807"/>
    </row>
    <row r="94" spans="1:14" s="785" customFormat="1" ht="30" customHeight="1" x14ac:dyDescent="0.2">
      <c r="A94" s="809" t="s">
        <v>1056</v>
      </c>
      <c r="B94" s="847" t="s">
        <v>672</v>
      </c>
      <c r="C94" s="1176"/>
      <c r="D94" s="810" t="s">
        <v>1061</v>
      </c>
      <c r="F94" s="1143"/>
      <c r="G94" s="792" t="str">
        <f>IF(AND(ISBLANK(F94),C94="x",$N$8&gt;0),"Attenzione: domanda a risposta obbligatoria",IF(ISBLANK(F94),"",IF(ISNUMBER(F94),IF(F94-INT(F94)=0,"","  Errore ! Inserire un numero intero senza decimali"),"  Errore ! Inserire un numero intero senza decimali")))</f>
        <v/>
      </c>
      <c r="K94" s="786" t="str">
        <f>LEFT(A94,3)</f>
        <v>WLF</v>
      </c>
      <c r="L94" s="786" t="str">
        <f>RIGHT(A94,3)</f>
        <v>469</v>
      </c>
      <c r="M94" s="786" t="str">
        <f>B94</f>
        <v>INT</v>
      </c>
      <c r="N94" s="786" t="str">
        <f>IF(ISNUMBER(F94),ROUND(F94,0),"")</f>
        <v/>
      </c>
    </row>
    <row r="95" spans="1:14" s="785" customFormat="1" ht="4.3499999999999996" customHeight="1" x14ac:dyDescent="0.2">
      <c r="A95" s="809"/>
      <c r="B95" s="809"/>
      <c r="D95" s="866"/>
      <c r="E95" s="800"/>
      <c r="F95" s="806"/>
      <c r="G95" s="807"/>
    </row>
    <row r="96" spans="1:14" s="785" customFormat="1" ht="30" customHeight="1" x14ac:dyDescent="0.2">
      <c r="A96" s="809" t="s">
        <v>1057</v>
      </c>
      <c r="B96" s="847" t="s">
        <v>672</v>
      </c>
      <c r="C96" s="1176"/>
      <c r="D96" s="810" t="s">
        <v>1062</v>
      </c>
      <c r="F96" s="1143"/>
      <c r="G96" s="792" t="str">
        <f>IF(AND(ISBLANK(F96),C96="x",$N$8&gt;0),"Attenzione: domanda a risposta obbligatoria",IF(ISBLANK(F96),"",IF(ISNUMBER(F96),IF(F96-INT(F96)=0,"","  Errore ! Inserire un numero intero senza decimali"),"  Errore ! Inserire un numero intero senza decimali")))</f>
        <v/>
      </c>
      <c r="K96" s="786" t="str">
        <f>LEFT(A96,3)</f>
        <v>WLF</v>
      </c>
      <c r="L96" s="786" t="str">
        <f>RIGHT(A96,3)</f>
        <v>470</v>
      </c>
      <c r="M96" s="786" t="str">
        <f>B96</f>
        <v>INT</v>
      </c>
      <c r="N96" s="786" t="str">
        <f>IF(ISNUMBER(F96),ROUND(F96,0),"")</f>
        <v/>
      </c>
    </row>
    <row r="97" spans="1:14" s="785" customFormat="1" ht="4.3499999999999996" customHeight="1" x14ac:dyDescent="0.2">
      <c r="A97" s="809"/>
      <c r="B97" s="809"/>
      <c r="D97" s="866"/>
      <c r="E97" s="800"/>
      <c r="F97" s="806"/>
      <c r="G97" s="807"/>
    </row>
    <row r="98" spans="1:14" s="785" customFormat="1" ht="30" customHeight="1" x14ac:dyDescent="0.2">
      <c r="A98" s="809" t="s">
        <v>1058</v>
      </c>
      <c r="B98" s="847" t="s">
        <v>672</v>
      </c>
      <c r="C98" s="1176"/>
      <c r="D98" s="810" t="s">
        <v>1063</v>
      </c>
      <c r="F98" s="1143"/>
      <c r="G98" s="792" t="str">
        <f>IF(AND(ISBLANK(F98),C98="x",$N$8&gt;0),"Attenzione: domanda a risposta obbligatoria",IF(ISBLANK(F98),"",IF(ISNUMBER(F98),IF(F98-INT(F98)=0,"","  Errore ! Inserire un numero intero senza decimali"),"  Errore ! Inserire un numero intero senza decimali")))</f>
        <v/>
      </c>
      <c r="K98" s="786" t="str">
        <f>LEFT(A98,3)</f>
        <v>WLF</v>
      </c>
      <c r="L98" s="786" t="str">
        <f>RIGHT(A98,3)</f>
        <v>471</v>
      </c>
      <c r="M98" s="786" t="str">
        <f>B98</f>
        <v>INT</v>
      </c>
      <c r="N98" s="786" t="str">
        <f>IF(ISNUMBER(F98),ROUND(F98,0),"")</f>
        <v/>
      </c>
    </row>
    <row r="99" spans="1:14" s="785" customFormat="1" ht="4.3499999999999996" customHeight="1" x14ac:dyDescent="0.2">
      <c r="A99" s="809"/>
      <c r="B99" s="809"/>
      <c r="D99" s="866"/>
      <c r="E99" s="800"/>
      <c r="F99" s="806"/>
      <c r="G99" s="807"/>
    </row>
    <row r="100" spans="1:14" s="785" customFormat="1" ht="30" customHeight="1" x14ac:dyDescent="0.2">
      <c r="A100" s="1136" t="s">
        <v>694</v>
      </c>
      <c r="B100" s="1136"/>
      <c r="C100" s="1137"/>
      <c r="D100" s="1137" t="s">
        <v>695</v>
      </c>
      <c r="E100" s="1159"/>
      <c r="F100" s="1160"/>
      <c r="G100" s="816"/>
      <c r="I100" s="1155"/>
      <c r="J100" s="814"/>
    </row>
    <row r="101" spans="1:14" s="785" customFormat="1" ht="4.3499999999999996" customHeight="1" x14ac:dyDescent="0.25">
      <c r="A101" s="815"/>
      <c r="B101" s="815"/>
      <c r="D101" s="800"/>
      <c r="E101" s="800"/>
      <c r="F101" s="801"/>
      <c r="G101" s="797"/>
    </row>
    <row r="102" spans="1:14" s="785" customFormat="1" x14ac:dyDescent="0.25">
      <c r="A102" s="803" t="s">
        <v>696</v>
      </c>
      <c r="B102" s="803" t="s">
        <v>393</v>
      </c>
      <c r="D102" s="800" t="s">
        <v>697</v>
      </c>
      <c r="F102" s="801"/>
      <c r="G102" s="797"/>
      <c r="K102" s="786" t="str">
        <f>LEFT(A102,3)</f>
        <v>INF</v>
      </c>
      <c r="L102" s="786" t="str">
        <f>RIGHT(A102,3)</f>
        <v>209</v>
      </c>
      <c r="M102" s="786" t="str">
        <f>B102</f>
        <v>NOTE</v>
      </c>
      <c r="N102" s="785" t="str">
        <f>IF(ISBLANK(D103),"",LEFT(D103,1500))</f>
        <v/>
      </c>
    </row>
    <row r="103" spans="1:14" s="785" customFormat="1" ht="45" customHeight="1" x14ac:dyDescent="0.2">
      <c r="A103" s="1161"/>
      <c r="B103" s="1161"/>
      <c r="D103" s="1575"/>
      <c r="E103" s="1576"/>
      <c r="F103" s="1577"/>
      <c r="G103" s="792" t="str">
        <f>IF(LEN(D103)&gt;1500,"Attenzione, è stato superato il numero massimo di 1500 caratteri","")</f>
        <v/>
      </c>
    </row>
    <row r="104" spans="1:14" s="785" customFormat="1" x14ac:dyDescent="0.25">
      <c r="A104" s="818"/>
      <c r="B104" s="818"/>
      <c r="D104" s="800"/>
      <c r="E104" s="800"/>
      <c r="F104" s="819"/>
      <c r="G104" s="797"/>
    </row>
    <row r="105" spans="1:14" s="785" customFormat="1" x14ac:dyDescent="0.25">
      <c r="A105" s="803" t="s">
        <v>698</v>
      </c>
      <c r="B105" s="803" t="s">
        <v>393</v>
      </c>
      <c r="D105" s="800" t="s">
        <v>699</v>
      </c>
      <c r="F105" s="801"/>
      <c r="G105" s="797"/>
      <c r="K105" s="786" t="str">
        <f>LEFT(A105,3)</f>
        <v>INF</v>
      </c>
      <c r="L105" s="786" t="str">
        <f>RIGHT(A105,3)</f>
        <v>127</v>
      </c>
      <c r="M105" s="786" t="str">
        <f>B105</f>
        <v>NOTE</v>
      </c>
      <c r="N105" s="785" t="str">
        <f>IF(ISBLANK(D106),"",LEFT(D106,1500))</f>
        <v/>
      </c>
    </row>
    <row r="106" spans="1:14" s="785" customFormat="1" ht="45" customHeight="1" x14ac:dyDescent="0.2">
      <c r="A106" s="1161"/>
      <c r="B106" s="1161"/>
      <c r="D106" s="1575"/>
      <c r="E106" s="1576"/>
      <c r="F106" s="1577"/>
      <c r="G106" s="792" t="str">
        <f>IF(LEN(D106)&gt;1500,"Attenzione, è stato superato il numero massimo di 1500 caratteri","")</f>
        <v/>
      </c>
      <c r="K106" s="793" t="s">
        <v>547</v>
      </c>
    </row>
    <row r="107" spans="1:14" ht="7.95" customHeight="1" x14ac:dyDescent="0.25"/>
    <row r="108" spans="1:14" ht="15.6" x14ac:dyDescent="0.25">
      <c r="A108" s="1399" t="s">
        <v>1196</v>
      </c>
      <c r="B108" s="1384"/>
      <c r="C108" s="1385"/>
      <c r="D108" s="1385"/>
    </row>
  </sheetData>
  <sheetProtection algorithmName="SHA-512" hashValue="RBFBufH0/UXvqj2OIHfNUilOAIDVJwYjQXOQwE5Xas/CTecFTDhyBt1sCeKEqtxV/CmUy0FyNV3PFJdcpQrvgg==" saltValue="RAIaftUNvW4uyKkPAvxlfw==" spinCount="100000" sheet="1" formatColumns="0" selectLockedCells="1"/>
  <dataConsolidate/>
  <mergeCells count="4">
    <mergeCell ref="G2:G3"/>
    <mergeCell ref="G5:G6"/>
    <mergeCell ref="D103:F103"/>
    <mergeCell ref="D106:F106"/>
  </mergeCells>
  <dataValidations count="4">
    <dataValidation type="textLength" allowBlank="1" showInputMessage="1" showErrorMessage="1" errorTitle="Errore di digitazione" error="Inserire massimo 1500 caratteri" sqref="D103:F103 D106:F106" xr:uid="{445ADAA0-4E0E-41F4-AFD2-750EBECE90E9}">
      <formula1>0</formula1>
      <formula2>1500</formula2>
    </dataValidation>
    <dataValidation type="whole" operator="lessThan" allowBlank="1" showInputMessage="1" showErrorMessage="1" errorTitle="Errore di digitazione" error="Inserire solo numeri interi o lasciare vuoto." sqref="F82 F84 F64 F76 F78 F80 F58 F88 F90 F92 F94 F96 F98 F56 F35 F33 F29 F27 F39 F43 F47 F41 F45 F49 F72 F74 F19 F21 F23 F54" xr:uid="{DDFE15D8-F1FF-475F-9457-EE76F77A2CFC}">
      <formula1>100000000000000</formula1>
    </dataValidation>
    <dataValidation type="list" allowBlank="1" showDropDown="1" showInputMessage="1" showErrorMessage="1" errorTitle="Errore di digitazione" error="Digitare 'S' o 'N' o lasciare in bianco" sqref="F62 F60 F68 F70" xr:uid="{677310F9-45C2-4216-A2CA-1B372BA641C7}">
      <formula1>"s,n,S,N"</formula1>
    </dataValidation>
    <dataValidation type="date" allowBlank="1" showInputMessage="1" showErrorMessage="1" errorTitle="Errore di digitazione" error="Digitare una data non anteriore al 1 Gennaio dell'anno precedente alla di rilevazione (gg/mm/aaaa)" sqref="F15 F13 F17" xr:uid="{C4B1528A-0842-4EB1-A0F4-28B9B8E67881}">
      <formula1>44562</formula1>
      <formula2>TODAY()</formula2>
    </dataValidation>
  </dataValidations>
  <printOptions horizontalCentered="1"/>
  <pageMargins left="0.39370078740157483" right="0.39370078740157483" top="0.78740157480314965" bottom="0.39370078740157483" header="0.31496062992125984" footer="0.31496062992125984"/>
  <pageSetup paperSize="9" scale="3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L33"/>
  <sheetViews>
    <sheetView showGridLines="0" workbookViewId="0">
      <pane ySplit="3" topLeftCell="A4" activePane="bottomLeft" state="frozen"/>
      <selection pane="bottomLeft" activeCell="C4" sqref="C4:C6"/>
    </sheetView>
  </sheetViews>
  <sheetFormatPr defaultRowHeight="10.199999999999999" x14ac:dyDescent="0.2"/>
  <cols>
    <col min="1" max="1" width="87.7109375" customWidth="1"/>
    <col min="2" max="3" width="25.7109375" customWidth="1"/>
    <col min="4" max="4" width="60.7109375" customWidth="1"/>
    <col min="5" max="5" width="9.140625" hidden="1" customWidth="1"/>
    <col min="6" max="6" width="10" customWidth="1"/>
  </cols>
  <sheetData>
    <row r="1" spans="1:12" s="3" customFormat="1" ht="43.5" customHeight="1" x14ac:dyDescent="0.2">
      <c r="A1" s="1463" t="str">
        <f>'t1'!A1</f>
        <v>ENTI PUBBLICI NON ECONOMICI - anno 2023</v>
      </c>
      <c r="B1" s="1463"/>
      <c r="C1" s="1578"/>
      <c r="D1" s="1578"/>
      <c r="F1" s="4"/>
      <c r="L1"/>
    </row>
    <row r="2" spans="1:12" ht="30" customHeight="1" thickBot="1" x14ac:dyDescent="0.25">
      <c r="A2" s="1579" t="str">
        <f>IF(B31&gt;0,IF($F$32&gt;0," ","Attenzione: Compilare la presente Tabella"),IF(C31=0," "," "))</f>
        <v xml:space="preserve"> </v>
      </c>
      <c r="B2" s="1579"/>
      <c r="C2" s="1580"/>
      <c r="D2" s="1580"/>
    </row>
    <row r="3" spans="1:12" ht="21.75" customHeight="1" thickBot="1" x14ac:dyDescent="0.25">
      <c r="A3" s="1354" t="s">
        <v>541</v>
      </c>
      <c r="B3" s="1352" t="s">
        <v>542</v>
      </c>
      <c r="C3" s="1352" t="s">
        <v>543</v>
      </c>
      <c r="D3" s="1355" t="s">
        <v>393</v>
      </c>
    </row>
    <row r="4" spans="1:12" s="646" customFormat="1" ht="23.25" customHeight="1" x14ac:dyDescent="0.2">
      <c r="A4" s="1356" t="s">
        <v>544</v>
      </c>
      <c r="B4" s="1357">
        <f>'t12'!K26</f>
        <v>0</v>
      </c>
      <c r="C4" s="1581"/>
      <c r="D4" s="1583"/>
      <c r="E4" s="646" t="s">
        <v>545</v>
      </c>
    </row>
    <row r="5" spans="1:12" s="646" customFormat="1" ht="23.25" customHeight="1" x14ac:dyDescent="0.2">
      <c r="A5" s="570" t="s">
        <v>546</v>
      </c>
      <c r="B5" s="647">
        <f>'t13'!V26</f>
        <v>0</v>
      </c>
      <c r="C5" s="1582"/>
      <c r="D5" s="1584"/>
      <c r="E5" s="646" t="s">
        <v>547</v>
      </c>
    </row>
    <row r="6" spans="1:12" s="646" customFormat="1" ht="23.25" customHeight="1" x14ac:dyDescent="0.2">
      <c r="A6" s="570" t="s">
        <v>548</v>
      </c>
      <c r="B6" s="647">
        <f>'t14'!D4</f>
        <v>0</v>
      </c>
      <c r="C6" s="1582"/>
      <c r="D6" s="1584"/>
      <c r="E6" s="646" t="s">
        <v>547</v>
      </c>
    </row>
    <row r="7" spans="1:12" s="646" customFormat="1" ht="23.25" hidden="1" customHeight="1" x14ac:dyDescent="0.2">
      <c r="A7" s="570" t="s">
        <v>549</v>
      </c>
      <c r="B7" s="647">
        <f>'t14'!D5</f>
        <v>0</v>
      </c>
      <c r="C7" s="1353"/>
      <c r="D7" s="833"/>
      <c r="E7" s="646" t="s">
        <v>153</v>
      </c>
    </row>
    <row r="8" spans="1:12" s="646" customFormat="1" ht="23.25" customHeight="1" x14ac:dyDescent="0.25">
      <c r="A8" s="570" t="s">
        <v>132</v>
      </c>
      <c r="B8" s="647">
        <f>'t14'!D6</f>
        <v>0</v>
      </c>
      <c r="C8" s="720"/>
      <c r="D8" s="1358"/>
      <c r="E8" s="646" t="s">
        <v>154</v>
      </c>
    </row>
    <row r="9" spans="1:12" s="646" customFormat="1" ht="23.25" hidden="1" customHeight="1" x14ac:dyDescent="0.2">
      <c r="A9" s="648" t="s">
        <v>136</v>
      </c>
      <c r="B9" s="647">
        <f>'t14'!D7</f>
        <v>0</v>
      </c>
      <c r="C9" s="1353"/>
      <c r="D9" s="1359"/>
      <c r="E9" s="646" t="s">
        <v>155</v>
      </c>
    </row>
    <row r="10" spans="1:12" s="646" customFormat="1" ht="23.25" hidden="1" customHeight="1" x14ac:dyDescent="0.2">
      <c r="A10" s="570" t="s">
        <v>135</v>
      </c>
      <c r="B10" s="647">
        <f>'t14'!D8</f>
        <v>0</v>
      </c>
      <c r="C10" s="1353"/>
      <c r="D10" s="1359"/>
      <c r="E10" s="646" t="s">
        <v>156</v>
      </c>
    </row>
    <row r="11" spans="1:12" s="646" customFormat="1" ht="23.25" hidden="1" customHeight="1" x14ac:dyDescent="0.2">
      <c r="A11" s="570" t="s">
        <v>134</v>
      </c>
      <c r="B11" s="647">
        <f>'t14'!D9</f>
        <v>0</v>
      </c>
      <c r="C11" s="1353"/>
      <c r="D11" s="1359"/>
      <c r="E11" s="646" t="s">
        <v>157</v>
      </c>
    </row>
    <row r="12" spans="1:12" s="646" customFormat="1" ht="23.25" hidden="1" customHeight="1" x14ac:dyDescent="0.2">
      <c r="A12" s="570" t="s">
        <v>564</v>
      </c>
      <c r="B12" s="647">
        <f>'t14'!D10</f>
        <v>0</v>
      </c>
      <c r="C12" s="1353"/>
      <c r="D12" s="1359"/>
      <c r="E12" s="646" t="s">
        <v>146</v>
      </c>
    </row>
    <row r="13" spans="1:12" s="646" customFormat="1" ht="23.25" hidden="1" customHeight="1" x14ac:dyDescent="0.2">
      <c r="A13" s="570" t="s">
        <v>565</v>
      </c>
      <c r="B13" s="647">
        <f>'t14'!D23</f>
        <v>0</v>
      </c>
      <c r="C13" s="1353"/>
      <c r="D13" s="1359"/>
      <c r="E13" s="646" t="s">
        <v>145</v>
      </c>
    </row>
    <row r="14" spans="1:12" s="646" customFormat="1" ht="23.25" hidden="1" customHeight="1" x14ac:dyDescent="0.2">
      <c r="A14" s="570" t="s">
        <v>158</v>
      </c>
      <c r="B14" s="647">
        <f>'t14'!D11</f>
        <v>0</v>
      </c>
      <c r="C14" s="1353"/>
      <c r="D14" s="1359"/>
      <c r="E14" s="646" t="s">
        <v>159</v>
      </c>
    </row>
    <row r="15" spans="1:12" s="646" customFormat="1" ht="23.25" customHeight="1" x14ac:dyDescent="0.25">
      <c r="A15" s="570" t="s">
        <v>1115</v>
      </c>
      <c r="B15" s="649">
        <f>'t14'!D12</f>
        <v>0</v>
      </c>
      <c r="C15" s="720"/>
      <c r="D15" s="1358"/>
      <c r="E15" s="646" t="s">
        <v>1117</v>
      </c>
    </row>
    <row r="16" spans="1:12" s="646" customFormat="1" ht="23.25" customHeight="1" x14ac:dyDescent="0.25">
      <c r="A16" s="570" t="s">
        <v>1116</v>
      </c>
      <c r="B16" s="647">
        <f>'t14'!D13</f>
        <v>0</v>
      </c>
      <c r="C16" s="720"/>
      <c r="D16" s="1358"/>
      <c r="E16" s="646" t="s">
        <v>1118</v>
      </c>
    </row>
    <row r="17" spans="1:6" s="646" customFormat="1" ht="23.25" hidden="1" customHeight="1" x14ac:dyDescent="0.2">
      <c r="A17" s="570" t="s">
        <v>2</v>
      </c>
      <c r="B17" s="647">
        <f>'t14'!D14</f>
        <v>0</v>
      </c>
      <c r="C17" s="1353"/>
      <c r="D17" s="1359"/>
      <c r="E17" s="646" t="s">
        <v>3</v>
      </c>
    </row>
    <row r="18" spans="1:6" ht="23.25" hidden="1" customHeight="1" x14ac:dyDescent="0.2">
      <c r="A18" s="570" t="s">
        <v>92</v>
      </c>
      <c r="B18" s="647">
        <f>'t14'!D15</f>
        <v>0</v>
      </c>
      <c r="C18" s="1353"/>
      <c r="D18" s="1359"/>
      <c r="E18" t="s">
        <v>160</v>
      </c>
    </row>
    <row r="19" spans="1:6" s="3" customFormat="1" ht="23.25" customHeight="1" x14ac:dyDescent="0.25">
      <c r="A19" s="570" t="s">
        <v>566</v>
      </c>
      <c r="B19" s="647">
        <f>'t14'!D16</f>
        <v>0</v>
      </c>
      <c r="C19" s="720"/>
      <c r="D19" s="1358"/>
      <c r="E19" s="3" t="s">
        <v>143</v>
      </c>
    </row>
    <row r="20" spans="1:6" ht="23.25" hidden="1" customHeight="1" x14ac:dyDescent="0.2">
      <c r="A20" s="570" t="s">
        <v>360</v>
      </c>
      <c r="B20" s="647">
        <f>'t14'!D17</f>
        <v>0</v>
      </c>
      <c r="C20" s="1353"/>
      <c r="D20" s="1359"/>
      <c r="E20" s="646" t="s">
        <v>144</v>
      </c>
    </row>
    <row r="21" spans="1:6" ht="23.25" hidden="1" customHeight="1" x14ac:dyDescent="0.2">
      <c r="A21" s="570" t="s">
        <v>133</v>
      </c>
      <c r="B21" s="647">
        <f>'t14'!D18</f>
        <v>0</v>
      </c>
      <c r="C21" s="1353"/>
      <c r="D21" s="1359"/>
      <c r="E21" s="646" t="s">
        <v>152</v>
      </c>
    </row>
    <row r="22" spans="1:6" ht="23.25" customHeight="1" x14ac:dyDescent="0.25">
      <c r="A22" s="570" t="s">
        <v>572</v>
      </c>
      <c r="B22" s="647">
        <f>'t14'!D19</f>
        <v>0</v>
      </c>
      <c r="C22" s="720"/>
      <c r="D22" s="1358"/>
      <c r="E22" s="646" t="s">
        <v>571</v>
      </c>
    </row>
    <row r="23" spans="1:6" ht="23.25" customHeight="1" x14ac:dyDescent="0.25">
      <c r="A23" s="570" t="s">
        <v>550</v>
      </c>
      <c r="B23" s="647">
        <f>'t14'!D20</f>
        <v>0</v>
      </c>
      <c r="C23" s="720"/>
      <c r="D23" s="1358"/>
      <c r="E23" s="646" t="s">
        <v>148</v>
      </c>
    </row>
    <row r="24" spans="1:6" ht="23.25" customHeight="1" x14ac:dyDescent="0.25">
      <c r="A24" s="570" t="s">
        <v>567</v>
      </c>
      <c r="B24" s="647">
        <f>'t14'!D21</f>
        <v>0</v>
      </c>
      <c r="C24" s="720"/>
      <c r="D24" s="1358"/>
      <c r="E24" s="646" t="s">
        <v>149</v>
      </c>
    </row>
    <row r="25" spans="1:6" ht="23.25" customHeight="1" x14ac:dyDescent="0.25">
      <c r="A25" s="570" t="s">
        <v>551</v>
      </c>
      <c r="B25" s="647">
        <f>'t14'!D22</f>
        <v>0</v>
      </c>
      <c r="C25" s="720"/>
      <c r="D25" s="1358"/>
      <c r="E25" s="646" t="s">
        <v>150</v>
      </c>
    </row>
    <row r="26" spans="1:6" ht="23.25" hidden="1" customHeight="1" x14ac:dyDescent="0.2">
      <c r="A26" s="650" t="s">
        <v>568</v>
      </c>
      <c r="B26" s="647">
        <f>'t14'!D24</f>
        <v>0</v>
      </c>
      <c r="C26" s="832"/>
      <c r="D26" s="833"/>
      <c r="E26" s="646" t="s">
        <v>147</v>
      </c>
    </row>
    <row r="27" spans="1:6" ht="23.25" customHeight="1" thickBot="1" x14ac:dyDescent="0.3">
      <c r="A27" s="571" t="s">
        <v>552</v>
      </c>
      <c r="B27" s="651">
        <f>'t14'!D25+'t14'!D26</f>
        <v>0</v>
      </c>
      <c r="C27" s="830"/>
      <c r="D27" s="831"/>
      <c r="E27" s="646" t="s">
        <v>553</v>
      </c>
    </row>
    <row r="28" spans="1:6" ht="16.2" customHeight="1" thickBot="1" x14ac:dyDescent="0.25">
      <c r="A28" s="652" t="s">
        <v>554</v>
      </c>
      <c r="B28" s="653">
        <f>SUM(B4:B27)</f>
        <v>0</v>
      </c>
      <c r="C28" s="653">
        <f>SUM(C4:C27)</f>
        <v>0</v>
      </c>
      <c r="D28" s="654"/>
      <c r="E28" s="646" t="s">
        <v>547</v>
      </c>
    </row>
    <row r="29" spans="1:6" ht="16.2" customHeight="1" x14ac:dyDescent="0.2">
      <c r="A29" s="655"/>
      <c r="B29" s="655"/>
      <c r="C29" s="655"/>
      <c r="D29" s="656"/>
      <c r="E29" s="646" t="s">
        <v>547</v>
      </c>
    </row>
    <row r="30" spans="1:6" ht="23.25" customHeight="1" thickBot="1" x14ac:dyDescent="0.3">
      <c r="A30" s="657" t="s">
        <v>555</v>
      </c>
      <c r="B30" s="647">
        <f>'t14'!D27+'t14'!D28+'t14'!D29</f>
        <v>0</v>
      </c>
      <c r="C30" s="721"/>
      <c r="D30" s="722"/>
      <c r="E30" s="646" t="s">
        <v>556</v>
      </c>
    </row>
    <row r="31" spans="1:6" ht="16.2" customHeight="1" thickBot="1" x14ac:dyDescent="0.25">
      <c r="A31" s="652" t="s">
        <v>557</v>
      </c>
      <c r="B31" s="653">
        <f>B28-B30</f>
        <v>0</v>
      </c>
      <c r="C31" s="653">
        <f>C28-C30</f>
        <v>0</v>
      </c>
      <c r="D31" s="658"/>
      <c r="E31" s="659"/>
    </row>
    <row r="32" spans="1:6" x14ac:dyDescent="0.2">
      <c r="F32" s="660">
        <f>IF(AND(C28=0,C30=0,D4="",D7="",D8="",D9="",D10="",D11="",D12="",D13="",D14="",D15="",D16="",D17="",D18="",D19="",D20="",D21="",D23="",D24="",D25="",D26="",D27="",D30=""),0,1)</f>
        <v>0</v>
      </c>
    </row>
    <row r="33" spans="1:1" x14ac:dyDescent="0.2">
      <c r="A33" t="s">
        <v>168</v>
      </c>
    </row>
  </sheetData>
  <sheetProtection algorithmName="SHA-512" hashValue="sQxqEhTAx3Xvb7gMvfltoVHjMovSOwIybJvX0cPXRq2kdskGmDoxp8pxxtgM7+W1B9h8Gk6xeWVu69vuWcw8Ng==" saltValue="/4x+iY1H/L6XENgeCf9VkQ==" spinCount="100000" sheet="1" formatColumns="0" selectLockedCells="1"/>
  <mergeCells count="4">
    <mergeCell ref="A1:D1"/>
    <mergeCell ref="A2:D2"/>
    <mergeCell ref="C4:C6"/>
    <mergeCell ref="D4:D6"/>
  </mergeCells>
  <dataValidations count="3">
    <dataValidation type="whole" allowBlank="1" showInputMessage="1" showErrorMessage="1" errorTitle="ERRORE NEL DATO IMMESSO" error="INSERIRE SOLO NUMERI INTERI" sqref="C30 C4:C6 C8 C15:C16 C19 C22:C25 C27" xr:uid="{00000000-0002-0000-1C00-000000000000}">
      <formula1>0</formula1>
      <formula2>99999999999999900000</formula2>
    </dataValidation>
    <dataValidation type="textLength" allowBlank="1" showInputMessage="1" showErrorMessage="1" errorTitle="ATTENZIONE ! ! !" error="E' stato superato il limite di 500 caratteri" sqref="D27 D30" xr:uid="{00000000-0002-0000-1C00-000001000000}">
      <formula1>0</formula1>
      <formula2>500</formula2>
    </dataValidation>
    <dataValidation type="textLength" allowBlank="1" showInputMessage="1" showErrorMessage="1" errorTitle="ATTENZIONE ! ! ! " error="E' stato superato il limite di 500 caratteri" sqref="D4:D6 D8 D15:D16 D19 D22:D25" xr:uid="{00000000-0002-0000-1C00-000002000000}">
      <formula1>0</formula1>
      <formula2>500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8"/>
  <dimension ref="A1:AK30"/>
  <sheetViews>
    <sheetView showGridLines="0" zoomScaleNormal="100" workbookViewId="0">
      <pane xSplit="2" ySplit="5" topLeftCell="AA6" activePane="bottomRight" state="frozen"/>
      <selection activeCell="C4" sqref="C4:C6"/>
      <selection pane="topRight" activeCell="C4" sqref="C4:C6"/>
      <selection pane="bottomLeft" activeCell="C4" sqref="C4:C6"/>
      <selection pane="bottomRight" activeCell="AA6" sqref="AA6"/>
    </sheetView>
  </sheetViews>
  <sheetFormatPr defaultColWidth="9.28515625" defaultRowHeight="10.199999999999999" x14ac:dyDescent="0.2"/>
  <cols>
    <col min="1" max="1" width="49.7109375" style="3" customWidth="1"/>
    <col min="2" max="2" width="9.7109375" style="2" customWidth="1"/>
    <col min="3" max="12" width="12.7109375" style="3" hidden="1" customWidth="1"/>
    <col min="13" max="13" width="9.28515625" style="3" hidden="1" customWidth="1"/>
    <col min="14" max="14" width="12.7109375" style="825" hidden="1" customWidth="1"/>
    <col min="15" max="26" width="9.28515625" style="3" hidden="1" customWidth="1"/>
    <col min="27" max="36" width="12.7109375" style="3" customWidth="1"/>
    <col min="37" max="37" width="0" style="3" hidden="1" customWidth="1"/>
    <col min="38" max="16384" width="9.28515625" style="3"/>
  </cols>
  <sheetData>
    <row r="1" spans="1:37" ht="24.75" customHeight="1" thickBot="1" x14ac:dyDescent="0.25">
      <c r="A1" s="751" t="str">
        <f>"ENTI PUBBLICI NON ECONOMICI"&amp;" - anno "&amp;$L$1</f>
        <v>ENTI PUBBLICI NON ECONOMICI - anno 2023</v>
      </c>
      <c r="B1" s="289"/>
      <c r="C1" s="289"/>
      <c r="D1" s="289"/>
      <c r="E1" s="289"/>
      <c r="F1" s="289"/>
      <c r="G1" s="289"/>
      <c r="H1" s="289"/>
      <c r="I1" s="289"/>
      <c r="J1" s="289"/>
      <c r="K1" s="289"/>
      <c r="L1" s="601">
        <v>2023</v>
      </c>
      <c r="M1" s="289"/>
      <c r="N1" s="766"/>
      <c r="O1" s="289"/>
      <c r="P1" s="289"/>
      <c r="Q1" s="289"/>
      <c r="R1" s="289"/>
      <c r="S1" s="289"/>
      <c r="T1" s="289"/>
      <c r="U1" s="289"/>
      <c r="V1" s="289"/>
      <c r="W1" s="289"/>
      <c r="X1" s="289"/>
      <c r="Y1" s="289"/>
      <c r="Z1" s="289"/>
      <c r="AA1" s="289"/>
      <c r="AB1" s="289"/>
      <c r="AC1" s="289"/>
      <c r="AD1" s="289"/>
      <c r="AE1" s="289"/>
      <c r="AF1" s="289"/>
      <c r="AG1" s="289"/>
      <c r="AH1" s="289"/>
      <c r="AI1" s="289"/>
      <c r="AJ1" s="601"/>
    </row>
    <row r="2" spans="1:37" ht="30" customHeight="1" thickBot="1" x14ac:dyDescent="0.25">
      <c r="A2" s="5"/>
      <c r="G2" s="1458"/>
      <c r="H2" s="1459"/>
      <c r="I2" s="1459"/>
      <c r="J2" s="1459"/>
      <c r="K2" s="1459"/>
      <c r="L2" s="1460"/>
      <c r="N2" s="824">
        <v>2016</v>
      </c>
      <c r="AE2" s="1449"/>
      <c r="AF2" s="1449"/>
      <c r="AG2" s="1449"/>
      <c r="AH2" s="1449"/>
      <c r="AI2" s="1449"/>
      <c r="AJ2" s="1449"/>
    </row>
    <row r="3" spans="1:37" ht="15" customHeight="1" thickBot="1" x14ac:dyDescent="0.25">
      <c r="A3" s="337"/>
      <c r="B3" s="338"/>
      <c r="C3" s="1453" t="s">
        <v>56</v>
      </c>
      <c r="D3" s="1453"/>
      <c r="E3" s="1453"/>
      <c r="F3" s="1453"/>
      <c r="G3" s="1454"/>
      <c r="H3" s="1454"/>
      <c r="I3" s="1454"/>
      <c r="J3" s="1454"/>
      <c r="K3" s="1454"/>
      <c r="L3" s="1455"/>
      <c r="AA3" s="1450" t="s">
        <v>56</v>
      </c>
      <c r="AB3" s="1451"/>
      <c r="AC3" s="1451"/>
      <c r="AD3" s="1451"/>
      <c r="AE3" s="1451"/>
      <c r="AF3" s="1451"/>
      <c r="AG3" s="1451"/>
      <c r="AH3" s="1451"/>
      <c r="AI3" s="1451"/>
      <c r="AJ3" s="1452"/>
    </row>
    <row r="4" spans="1:37" ht="21" thickTop="1" x14ac:dyDescent="0.2">
      <c r="A4" s="716" t="s">
        <v>125</v>
      </c>
      <c r="B4" s="1456" t="s">
        <v>57</v>
      </c>
      <c r="C4" s="15" t="str">
        <f>"Totale dipendenti al 31/12/"&amp;L1-1&amp;" (*)"</f>
        <v>Totale dipendenti al 31/12/2022 (*)</v>
      </c>
      <c r="D4" s="14"/>
      <c r="E4" s="13" t="s">
        <v>61</v>
      </c>
      <c r="F4" s="14"/>
      <c r="G4" s="15" t="s">
        <v>117</v>
      </c>
      <c r="H4" s="14"/>
      <c r="I4" s="15" t="s">
        <v>118</v>
      </c>
      <c r="J4" s="14"/>
      <c r="K4" s="15" t="str">
        <f>"Totale dipendenti al 31/12/"&amp;L1&amp;" (**)"</f>
        <v>Totale dipendenti al 31/12/2023 (**)</v>
      </c>
      <c r="L4" s="278"/>
      <c r="AA4" s="842" t="str">
        <f>"Totale dipendenti al 31/12/"&amp;L1-1&amp;" (*)"</f>
        <v>Totale dipendenti al 31/12/2022 (*)</v>
      </c>
      <c r="AB4" s="843"/>
      <c r="AC4" s="844" t="s">
        <v>61</v>
      </c>
      <c r="AD4" s="843"/>
      <c r="AE4" s="842" t="s">
        <v>117</v>
      </c>
      <c r="AF4" s="843"/>
      <c r="AG4" s="842" t="s">
        <v>118</v>
      </c>
      <c r="AH4" s="843"/>
      <c r="AI4" s="842" t="str">
        <f>"Totale dipendenti al 31/12/"&amp;L1&amp;" (**)"</f>
        <v>Totale dipendenti al 31/12/2023 (**)</v>
      </c>
      <c r="AJ4" s="278"/>
    </row>
    <row r="5" spans="1:37" ht="10.8" thickBot="1" x14ac:dyDescent="0.25">
      <c r="A5" s="717" t="s">
        <v>610</v>
      </c>
      <c r="B5" s="1457"/>
      <c r="C5" s="219" t="s">
        <v>58</v>
      </c>
      <c r="D5" s="220" t="s">
        <v>59</v>
      </c>
      <c r="E5" s="219" t="s">
        <v>58</v>
      </c>
      <c r="F5" s="220" t="s">
        <v>59</v>
      </c>
      <c r="G5" s="219" t="s">
        <v>58</v>
      </c>
      <c r="H5" s="220" t="s">
        <v>59</v>
      </c>
      <c r="I5" s="219" t="s">
        <v>58</v>
      </c>
      <c r="J5" s="220" t="s">
        <v>59</v>
      </c>
      <c r="K5" s="219" t="s">
        <v>58</v>
      </c>
      <c r="L5" s="279" t="s">
        <v>59</v>
      </c>
      <c r="AA5" s="219" t="s">
        <v>58</v>
      </c>
      <c r="AB5" s="220" t="s">
        <v>59</v>
      </c>
      <c r="AC5" s="219" t="s">
        <v>58</v>
      </c>
      <c r="AD5" s="220" t="s">
        <v>59</v>
      </c>
      <c r="AE5" s="219" t="s">
        <v>58</v>
      </c>
      <c r="AF5" s="220" t="s">
        <v>59</v>
      </c>
      <c r="AG5" s="219" t="s">
        <v>58</v>
      </c>
      <c r="AH5" s="220" t="s">
        <v>59</v>
      </c>
      <c r="AI5" s="219" t="s">
        <v>58</v>
      </c>
      <c r="AJ5" s="279" t="s">
        <v>59</v>
      </c>
    </row>
    <row r="6" spans="1:37" ht="12.75" customHeight="1" thickTop="1" x14ac:dyDescent="0.2">
      <c r="A6" s="135" t="s">
        <v>411</v>
      </c>
      <c r="B6" s="330" t="s">
        <v>412</v>
      </c>
      <c r="C6" s="723">
        <f>ROUND(AA6,0)</f>
        <v>0</v>
      </c>
      <c r="D6" s="724">
        <f t="shared" ref="D6:D20" si="0">ROUND(AB6,0)</f>
        <v>0</v>
      </c>
      <c r="E6" s="725">
        <f t="shared" ref="E6:E20" si="1">ROUND(AC6,0)</f>
        <v>0</v>
      </c>
      <c r="F6" s="726">
        <f t="shared" ref="F6:F20" si="2">ROUND(AD6,0)</f>
        <v>0</v>
      </c>
      <c r="G6" s="725">
        <f t="shared" ref="G6:G20" si="3">ROUND(AE6,0)</f>
        <v>0</v>
      </c>
      <c r="H6" s="726">
        <f t="shared" ref="H6:H20" si="4">ROUND(AF6,0)</f>
        <v>0</v>
      </c>
      <c r="I6" s="725">
        <f t="shared" ref="I6:I20" si="5">ROUND(AG6,0)</f>
        <v>0</v>
      </c>
      <c r="J6" s="726">
        <f t="shared" ref="J6:J20" si="6">ROUND(AH6,0)</f>
        <v>0</v>
      </c>
      <c r="K6" s="380">
        <f>E6+G6+I6</f>
        <v>0</v>
      </c>
      <c r="L6" s="381">
        <f>F6+H6+J6</f>
        <v>0</v>
      </c>
      <c r="M6" s="719">
        <f>K6+L6</f>
        <v>0</v>
      </c>
      <c r="N6" s="826" t="s">
        <v>445</v>
      </c>
      <c r="AA6" s="298"/>
      <c r="AB6" s="299"/>
      <c r="AC6" s="186"/>
      <c r="AD6" s="226"/>
      <c r="AE6" s="186"/>
      <c r="AF6" s="226"/>
      <c r="AG6" s="186"/>
      <c r="AH6" s="226"/>
      <c r="AI6" s="380">
        <f>AC6+AE6+AG6</f>
        <v>0</v>
      </c>
      <c r="AJ6" s="381">
        <f>AD6+AF6+AH6</f>
        <v>0</v>
      </c>
      <c r="AK6" s="719">
        <f>AI6+AJ6</f>
        <v>0</v>
      </c>
    </row>
    <row r="7" spans="1:37" ht="12.75" customHeight="1" x14ac:dyDescent="0.2">
      <c r="A7" s="135" t="s">
        <v>413</v>
      </c>
      <c r="B7" s="331" t="s">
        <v>414</v>
      </c>
      <c r="C7" s="723">
        <f t="shared" ref="C7:C20" si="7">ROUND(AA7,0)</f>
        <v>0</v>
      </c>
      <c r="D7" s="724">
        <f t="shared" si="0"/>
        <v>0</v>
      </c>
      <c r="E7" s="725">
        <f t="shared" si="1"/>
        <v>0</v>
      </c>
      <c r="F7" s="726">
        <f t="shared" si="2"/>
        <v>0</v>
      </c>
      <c r="G7" s="725">
        <f t="shared" si="3"/>
        <v>0</v>
      </c>
      <c r="H7" s="726">
        <f t="shared" si="4"/>
        <v>0</v>
      </c>
      <c r="I7" s="725">
        <f t="shared" si="5"/>
        <v>0</v>
      </c>
      <c r="J7" s="726">
        <f t="shared" si="6"/>
        <v>0</v>
      </c>
      <c r="K7" s="380">
        <f t="shared" ref="K7:K20" si="8">E7+G7+I7</f>
        <v>0</v>
      </c>
      <c r="L7" s="381">
        <f t="shared" ref="L7:L20" si="9">F7+H7+J7</f>
        <v>0</v>
      </c>
      <c r="M7" s="719">
        <f t="shared" ref="M7:M20" si="10">K7+L7</f>
        <v>0</v>
      </c>
      <c r="N7" s="826" t="s">
        <v>489</v>
      </c>
      <c r="AA7" s="298"/>
      <c r="AB7" s="299"/>
      <c r="AC7" s="186"/>
      <c r="AD7" s="226"/>
      <c r="AE7" s="186"/>
      <c r="AF7" s="226"/>
      <c r="AG7" s="186"/>
      <c r="AH7" s="226"/>
      <c r="AI7" s="380">
        <f t="shared" ref="AI7:AI20" si="11">AC7+AE7+AG7</f>
        <v>0</v>
      </c>
      <c r="AJ7" s="381">
        <f t="shared" ref="AJ7:AJ20" si="12">AD7+AF7+AH7</f>
        <v>0</v>
      </c>
      <c r="AK7" s="719">
        <f t="shared" ref="AK7:AK20" si="13">AI7+AJ7</f>
        <v>0</v>
      </c>
    </row>
    <row r="8" spans="1:37" ht="12.75" customHeight="1" x14ac:dyDescent="0.2">
      <c r="A8" s="135" t="s">
        <v>415</v>
      </c>
      <c r="B8" s="331" t="s">
        <v>416</v>
      </c>
      <c r="C8" s="723">
        <f t="shared" si="7"/>
        <v>0</v>
      </c>
      <c r="D8" s="724">
        <f t="shared" si="0"/>
        <v>0</v>
      </c>
      <c r="E8" s="725">
        <f t="shared" si="1"/>
        <v>0</v>
      </c>
      <c r="F8" s="726">
        <f t="shared" si="2"/>
        <v>0</v>
      </c>
      <c r="G8" s="725">
        <f t="shared" si="3"/>
        <v>0</v>
      </c>
      <c r="H8" s="726">
        <f t="shared" si="4"/>
        <v>0</v>
      </c>
      <c r="I8" s="725">
        <f t="shared" si="5"/>
        <v>0</v>
      </c>
      <c r="J8" s="726">
        <f t="shared" si="6"/>
        <v>0</v>
      </c>
      <c r="K8" s="380">
        <f t="shared" si="8"/>
        <v>0</v>
      </c>
      <c r="L8" s="381">
        <f t="shared" si="9"/>
        <v>0</v>
      </c>
      <c r="M8" s="719">
        <f t="shared" si="10"/>
        <v>0</v>
      </c>
      <c r="N8" s="826" t="s">
        <v>489</v>
      </c>
      <c r="AA8" s="298"/>
      <c r="AB8" s="299"/>
      <c r="AC8" s="186"/>
      <c r="AD8" s="226"/>
      <c r="AE8" s="186"/>
      <c r="AF8" s="226"/>
      <c r="AG8" s="186"/>
      <c r="AH8" s="226"/>
      <c r="AI8" s="380">
        <f t="shared" si="11"/>
        <v>0</v>
      </c>
      <c r="AJ8" s="381">
        <f t="shared" si="12"/>
        <v>0</v>
      </c>
      <c r="AK8" s="719">
        <f t="shared" si="13"/>
        <v>0</v>
      </c>
    </row>
    <row r="9" spans="1:37" ht="12.75" customHeight="1" x14ac:dyDescent="0.2">
      <c r="A9" s="135" t="s">
        <v>417</v>
      </c>
      <c r="B9" s="331" t="s">
        <v>418</v>
      </c>
      <c r="C9" s="723">
        <f t="shared" si="7"/>
        <v>0</v>
      </c>
      <c r="D9" s="724">
        <f t="shared" si="0"/>
        <v>0</v>
      </c>
      <c r="E9" s="725">
        <f t="shared" si="1"/>
        <v>0</v>
      </c>
      <c r="F9" s="726">
        <f t="shared" si="2"/>
        <v>0</v>
      </c>
      <c r="G9" s="725">
        <f t="shared" si="3"/>
        <v>0</v>
      </c>
      <c r="H9" s="726">
        <f t="shared" si="4"/>
        <v>0</v>
      </c>
      <c r="I9" s="725">
        <f t="shared" si="5"/>
        <v>0</v>
      </c>
      <c r="J9" s="726">
        <f t="shared" si="6"/>
        <v>0</v>
      </c>
      <c r="K9" s="380">
        <f t="shared" si="8"/>
        <v>0</v>
      </c>
      <c r="L9" s="381">
        <f t="shared" si="9"/>
        <v>0</v>
      </c>
      <c r="M9" s="719">
        <f t="shared" si="10"/>
        <v>0</v>
      </c>
      <c r="N9" s="826" t="s">
        <v>472</v>
      </c>
      <c r="AA9" s="298"/>
      <c r="AB9" s="299"/>
      <c r="AC9" s="186"/>
      <c r="AD9" s="226"/>
      <c r="AE9" s="186"/>
      <c r="AF9" s="226"/>
      <c r="AG9" s="186"/>
      <c r="AH9" s="226"/>
      <c r="AI9" s="380">
        <f t="shared" si="11"/>
        <v>0</v>
      </c>
      <c r="AJ9" s="381">
        <f t="shared" si="12"/>
        <v>0</v>
      </c>
      <c r="AK9" s="719">
        <f t="shared" si="13"/>
        <v>0</v>
      </c>
    </row>
    <row r="10" spans="1:37" ht="12.75" customHeight="1" x14ac:dyDescent="0.2">
      <c r="A10" s="135" t="s">
        <v>419</v>
      </c>
      <c r="B10" s="331" t="s">
        <v>420</v>
      </c>
      <c r="C10" s="723">
        <f t="shared" si="7"/>
        <v>0</v>
      </c>
      <c r="D10" s="724">
        <f t="shared" si="0"/>
        <v>0</v>
      </c>
      <c r="E10" s="725">
        <f t="shared" si="1"/>
        <v>0</v>
      </c>
      <c r="F10" s="726">
        <f t="shared" si="2"/>
        <v>0</v>
      </c>
      <c r="G10" s="725">
        <f t="shared" si="3"/>
        <v>0</v>
      </c>
      <c r="H10" s="726">
        <f t="shared" si="4"/>
        <v>0</v>
      </c>
      <c r="I10" s="725">
        <f t="shared" si="5"/>
        <v>0</v>
      </c>
      <c r="J10" s="726">
        <f t="shared" si="6"/>
        <v>0</v>
      </c>
      <c r="K10" s="380">
        <f t="shared" si="8"/>
        <v>0</v>
      </c>
      <c r="L10" s="381">
        <f t="shared" si="9"/>
        <v>0</v>
      </c>
      <c r="M10" s="719">
        <f t="shared" si="10"/>
        <v>0</v>
      </c>
      <c r="N10" s="826" t="s">
        <v>472</v>
      </c>
      <c r="AA10" s="298"/>
      <c r="AB10" s="299"/>
      <c r="AC10" s="186"/>
      <c r="AD10" s="226"/>
      <c r="AE10" s="186"/>
      <c r="AF10" s="226"/>
      <c r="AG10" s="186"/>
      <c r="AH10" s="226"/>
      <c r="AI10" s="380">
        <f t="shared" si="11"/>
        <v>0</v>
      </c>
      <c r="AJ10" s="381">
        <f t="shared" si="12"/>
        <v>0</v>
      </c>
      <c r="AK10" s="719">
        <f t="shared" si="13"/>
        <v>0</v>
      </c>
    </row>
    <row r="11" spans="1:37" ht="12.75" customHeight="1" x14ac:dyDescent="0.2">
      <c r="A11" s="135" t="s">
        <v>421</v>
      </c>
      <c r="B11" s="331" t="s">
        <v>422</v>
      </c>
      <c r="C11" s="723">
        <f t="shared" si="7"/>
        <v>0</v>
      </c>
      <c r="D11" s="724">
        <f t="shared" si="0"/>
        <v>0</v>
      </c>
      <c r="E11" s="725">
        <f t="shared" si="1"/>
        <v>0</v>
      </c>
      <c r="F11" s="726">
        <f t="shared" si="2"/>
        <v>0</v>
      </c>
      <c r="G11" s="725">
        <f t="shared" si="3"/>
        <v>0</v>
      </c>
      <c r="H11" s="726">
        <f t="shared" si="4"/>
        <v>0</v>
      </c>
      <c r="I11" s="725">
        <f t="shared" si="5"/>
        <v>0</v>
      </c>
      <c r="J11" s="726">
        <f t="shared" si="6"/>
        <v>0</v>
      </c>
      <c r="K11" s="380">
        <f t="shared" si="8"/>
        <v>0</v>
      </c>
      <c r="L11" s="381">
        <f t="shared" si="9"/>
        <v>0</v>
      </c>
      <c r="M11" s="719">
        <f t="shared" si="10"/>
        <v>0</v>
      </c>
      <c r="N11" s="826" t="s">
        <v>473</v>
      </c>
      <c r="AA11" s="298"/>
      <c r="AB11" s="299"/>
      <c r="AC11" s="186"/>
      <c r="AD11" s="226"/>
      <c r="AE11" s="186"/>
      <c r="AF11" s="226"/>
      <c r="AG11" s="186"/>
      <c r="AH11" s="226"/>
      <c r="AI11" s="380">
        <f t="shared" si="11"/>
        <v>0</v>
      </c>
      <c r="AJ11" s="381">
        <f t="shared" si="12"/>
        <v>0</v>
      </c>
      <c r="AK11" s="719">
        <f t="shared" si="13"/>
        <v>0</v>
      </c>
    </row>
    <row r="12" spans="1:37" ht="12.75" customHeight="1" x14ac:dyDescent="0.2">
      <c r="A12" s="135" t="s">
        <v>423</v>
      </c>
      <c r="B12" s="331" t="s">
        <v>424</v>
      </c>
      <c r="C12" s="723">
        <f t="shared" si="7"/>
        <v>0</v>
      </c>
      <c r="D12" s="724">
        <f t="shared" si="0"/>
        <v>0</v>
      </c>
      <c r="E12" s="725">
        <f t="shared" si="1"/>
        <v>0</v>
      </c>
      <c r="F12" s="726">
        <f t="shared" si="2"/>
        <v>0</v>
      </c>
      <c r="G12" s="725">
        <f t="shared" si="3"/>
        <v>0</v>
      </c>
      <c r="H12" s="726">
        <f t="shared" si="4"/>
        <v>0</v>
      </c>
      <c r="I12" s="725">
        <f t="shared" si="5"/>
        <v>0</v>
      </c>
      <c r="J12" s="726">
        <f t="shared" si="6"/>
        <v>0</v>
      </c>
      <c r="K12" s="380">
        <f t="shared" si="8"/>
        <v>0</v>
      </c>
      <c r="L12" s="381">
        <f t="shared" si="9"/>
        <v>0</v>
      </c>
      <c r="M12" s="719">
        <f t="shared" si="10"/>
        <v>0</v>
      </c>
      <c r="N12" s="826" t="s">
        <v>473</v>
      </c>
      <c r="AA12" s="298"/>
      <c r="AB12" s="299"/>
      <c r="AC12" s="186"/>
      <c r="AD12" s="226"/>
      <c r="AE12" s="186"/>
      <c r="AF12" s="226"/>
      <c r="AG12" s="186"/>
      <c r="AH12" s="226"/>
      <c r="AI12" s="380">
        <f t="shared" si="11"/>
        <v>0</v>
      </c>
      <c r="AJ12" s="381">
        <f t="shared" si="12"/>
        <v>0</v>
      </c>
      <c r="AK12" s="719">
        <f t="shared" si="13"/>
        <v>0</v>
      </c>
    </row>
    <row r="13" spans="1:37" ht="12.75" customHeight="1" x14ac:dyDescent="0.2">
      <c r="A13" s="135" t="s">
        <v>425</v>
      </c>
      <c r="B13" s="331" t="s">
        <v>426</v>
      </c>
      <c r="C13" s="723">
        <f t="shared" si="7"/>
        <v>0</v>
      </c>
      <c r="D13" s="724">
        <f t="shared" si="0"/>
        <v>0</v>
      </c>
      <c r="E13" s="725">
        <f t="shared" si="1"/>
        <v>0</v>
      </c>
      <c r="F13" s="726">
        <f t="shared" si="2"/>
        <v>0</v>
      </c>
      <c r="G13" s="725">
        <f t="shared" si="3"/>
        <v>0</v>
      </c>
      <c r="H13" s="726">
        <f t="shared" si="4"/>
        <v>0</v>
      </c>
      <c r="I13" s="725">
        <f t="shared" si="5"/>
        <v>0</v>
      </c>
      <c r="J13" s="726">
        <f t="shared" si="6"/>
        <v>0</v>
      </c>
      <c r="K13" s="380">
        <f t="shared" si="8"/>
        <v>0</v>
      </c>
      <c r="L13" s="381">
        <f t="shared" si="9"/>
        <v>0</v>
      </c>
      <c r="M13" s="719">
        <f t="shared" si="10"/>
        <v>0</v>
      </c>
      <c r="N13" s="826" t="s">
        <v>473</v>
      </c>
      <c r="AA13" s="298"/>
      <c r="AB13" s="299"/>
      <c r="AC13" s="186"/>
      <c r="AD13" s="226"/>
      <c r="AE13" s="186"/>
      <c r="AF13" s="226"/>
      <c r="AG13" s="186"/>
      <c r="AH13" s="226"/>
      <c r="AI13" s="380">
        <f t="shared" si="11"/>
        <v>0</v>
      </c>
      <c r="AJ13" s="381">
        <f t="shared" si="12"/>
        <v>0</v>
      </c>
      <c r="AK13" s="719">
        <f t="shared" si="13"/>
        <v>0</v>
      </c>
    </row>
    <row r="14" spans="1:37" ht="12.75" customHeight="1" x14ac:dyDescent="0.2">
      <c r="A14" s="135" t="s">
        <v>427</v>
      </c>
      <c r="B14" s="331" t="s">
        <v>428</v>
      </c>
      <c r="C14" s="723">
        <f t="shared" si="7"/>
        <v>0</v>
      </c>
      <c r="D14" s="724">
        <f t="shared" si="0"/>
        <v>0</v>
      </c>
      <c r="E14" s="725">
        <f t="shared" si="1"/>
        <v>0</v>
      </c>
      <c r="F14" s="726">
        <f t="shared" si="2"/>
        <v>0</v>
      </c>
      <c r="G14" s="725">
        <f t="shared" si="3"/>
        <v>0</v>
      </c>
      <c r="H14" s="726">
        <f t="shared" si="4"/>
        <v>0</v>
      </c>
      <c r="I14" s="725">
        <f t="shared" si="5"/>
        <v>0</v>
      </c>
      <c r="J14" s="726">
        <f t="shared" si="6"/>
        <v>0</v>
      </c>
      <c r="K14" s="380">
        <f t="shared" si="8"/>
        <v>0</v>
      </c>
      <c r="L14" s="381">
        <f t="shared" si="9"/>
        <v>0</v>
      </c>
      <c r="M14" s="719">
        <f t="shared" si="10"/>
        <v>0</v>
      </c>
      <c r="N14" s="826" t="s">
        <v>473</v>
      </c>
      <c r="AA14" s="298"/>
      <c r="AB14" s="299"/>
      <c r="AC14" s="186"/>
      <c r="AD14" s="226"/>
      <c r="AE14" s="186"/>
      <c r="AF14" s="226"/>
      <c r="AG14" s="186"/>
      <c r="AH14" s="226"/>
      <c r="AI14" s="380">
        <f t="shared" si="11"/>
        <v>0</v>
      </c>
      <c r="AJ14" s="381">
        <f t="shared" si="12"/>
        <v>0</v>
      </c>
      <c r="AK14" s="719">
        <f t="shared" si="13"/>
        <v>0</v>
      </c>
    </row>
    <row r="15" spans="1:37" ht="12.75" customHeight="1" x14ac:dyDescent="0.2">
      <c r="A15" s="135" t="s">
        <v>429</v>
      </c>
      <c r="B15" s="331" t="s">
        <v>430</v>
      </c>
      <c r="C15" s="723">
        <f t="shared" si="7"/>
        <v>0</v>
      </c>
      <c r="D15" s="724">
        <f t="shared" si="0"/>
        <v>0</v>
      </c>
      <c r="E15" s="725">
        <f t="shared" si="1"/>
        <v>0</v>
      </c>
      <c r="F15" s="726">
        <f t="shared" si="2"/>
        <v>0</v>
      </c>
      <c r="G15" s="725">
        <f t="shared" si="3"/>
        <v>0</v>
      </c>
      <c r="H15" s="726">
        <f t="shared" si="4"/>
        <v>0</v>
      </c>
      <c r="I15" s="725">
        <f t="shared" si="5"/>
        <v>0</v>
      </c>
      <c r="J15" s="726">
        <f t="shared" si="6"/>
        <v>0</v>
      </c>
      <c r="K15" s="380">
        <f t="shared" si="8"/>
        <v>0</v>
      </c>
      <c r="L15" s="381">
        <f t="shared" si="9"/>
        <v>0</v>
      </c>
      <c r="M15" s="719">
        <f t="shared" si="10"/>
        <v>0</v>
      </c>
      <c r="N15" s="826" t="s">
        <v>474</v>
      </c>
      <c r="AA15" s="298"/>
      <c r="AB15" s="299"/>
      <c r="AC15" s="186"/>
      <c r="AD15" s="226"/>
      <c r="AE15" s="186"/>
      <c r="AF15" s="226"/>
      <c r="AG15" s="186"/>
      <c r="AH15" s="226"/>
      <c r="AI15" s="380">
        <f t="shared" si="11"/>
        <v>0</v>
      </c>
      <c r="AJ15" s="381">
        <f t="shared" si="12"/>
        <v>0</v>
      </c>
      <c r="AK15" s="719">
        <f t="shared" si="13"/>
        <v>0</v>
      </c>
    </row>
    <row r="16" spans="1:37" ht="12.75" customHeight="1" x14ac:dyDescent="0.2">
      <c r="A16" s="135" t="s">
        <v>431</v>
      </c>
      <c r="B16" s="331" t="s">
        <v>432</v>
      </c>
      <c r="C16" s="723">
        <f t="shared" si="7"/>
        <v>0</v>
      </c>
      <c r="D16" s="724">
        <f t="shared" si="0"/>
        <v>0</v>
      </c>
      <c r="E16" s="725">
        <f t="shared" si="1"/>
        <v>0</v>
      </c>
      <c r="F16" s="726">
        <f t="shared" si="2"/>
        <v>0</v>
      </c>
      <c r="G16" s="725">
        <f t="shared" si="3"/>
        <v>0</v>
      </c>
      <c r="H16" s="726">
        <f t="shared" si="4"/>
        <v>0</v>
      </c>
      <c r="I16" s="725">
        <f t="shared" si="5"/>
        <v>0</v>
      </c>
      <c r="J16" s="726">
        <f t="shared" si="6"/>
        <v>0</v>
      </c>
      <c r="K16" s="380">
        <f t="shared" si="8"/>
        <v>0</v>
      </c>
      <c r="L16" s="381">
        <f t="shared" si="9"/>
        <v>0</v>
      </c>
      <c r="M16" s="719">
        <f t="shared" si="10"/>
        <v>0</v>
      </c>
      <c r="N16" s="826" t="s">
        <v>474</v>
      </c>
      <c r="AA16" s="298"/>
      <c r="AB16" s="299"/>
      <c r="AC16" s="186"/>
      <c r="AD16" s="226"/>
      <c r="AE16" s="186"/>
      <c r="AF16" s="226"/>
      <c r="AG16" s="186"/>
      <c r="AH16" s="226"/>
      <c r="AI16" s="380">
        <f t="shared" si="11"/>
        <v>0</v>
      </c>
      <c r="AJ16" s="381">
        <f t="shared" si="12"/>
        <v>0</v>
      </c>
      <c r="AK16" s="719">
        <f t="shared" si="13"/>
        <v>0</v>
      </c>
    </row>
    <row r="17" spans="1:37" ht="12.75" customHeight="1" x14ac:dyDescent="0.2">
      <c r="A17" s="135" t="s">
        <v>433</v>
      </c>
      <c r="B17" s="331" t="s">
        <v>434</v>
      </c>
      <c r="C17" s="723">
        <f t="shared" si="7"/>
        <v>0</v>
      </c>
      <c r="D17" s="724">
        <f t="shared" si="0"/>
        <v>0</v>
      </c>
      <c r="E17" s="725">
        <f t="shared" si="1"/>
        <v>0</v>
      </c>
      <c r="F17" s="726">
        <f t="shared" si="2"/>
        <v>0</v>
      </c>
      <c r="G17" s="725">
        <f t="shared" si="3"/>
        <v>0</v>
      </c>
      <c r="H17" s="726">
        <f t="shared" si="4"/>
        <v>0</v>
      </c>
      <c r="I17" s="725">
        <f t="shared" si="5"/>
        <v>0</v>
      </c>
      <c r="J17" s="726">
        <f t="shared" si="6"/>
        <v>0</v>
      </c>
      <c r="K17" s="380">
        <f t="shared" si="8"/>
        <v>0</v>
      </c>
      <c r="L17" s="381">
        <f t="shared" si="9"/>
        <v>0</v>
      </c>
      <c r="M17" s="719">
        <f t="shared" si="10"/>
        <v>0</v>
      </c>
      <c r="N17" s="826" t="s">
        <v>474</v>
      </c>
      <c r="AA17" s="298"/>
      <c r="AB17" s="299"/>
      <c r="AC17" s="186"/>
      <c r="AD17" s="226"/>
      <c r="AE17" s="186"/>
      <c r="AF17" s="226"/>
      <c r="AG17" s="186"/>
      <c r="AH17" s="226"/>
      <c r="AI17" s="380">
        <f t="shared" si="11"/>
        <v>0</v>
      </c>
      <c r="AJ17" s="381">
        <f t="shared" si="12"/>
        <v>0</v>
      </c>
      <c r="AK17" s="719">
        <f t="shared" si="13"/>
        <v>0</v>
      </c>
    </row>
    <row r="18" spans="1:37" ht="12.75" customHeight="1" x14ac:dyDescent="0.2">
      <c r="A18" s="135" t="s">
        <v>435</v>
      </c>
      <c r="B18" s="331" t="s">
        <v>436</v>
      </c>
      <c r="C18" s="723">
        <f t="shared" si="7"/>
        <v>0</v>
      </c>
      <c r="D18" s="724">
        <f t="shared" si="0"/>
        <v>0</v>
      </c>
      <c r="E18" s="725">
        <f t="shared" si="1"/>
        <v>0</v>
      </c>
      <c r="F18" s="726">
        <f t="shared" si="2"/>
        <v>0</v>
      </c>
      <c r="G18" s="725">
        <f t="shared" si="3"/>
        <v>0</v>
      </c>
      <c r="H18" s="726">
        <f t="shared" si="4"/>
        <v>0</v>
      </c>
      <c r="I18" s="725">
        <f t="shared" si="5"/>
        <v>0</v>
      </c>
      <c r="J18" s="726">
        <f t="shared" si="6"/>
        <v>0</v>
      </c>
      <c r="K18" s="380">
        <f t="shared" si="8"/>
        <v>0</v>
      </c>
      <c r="L18" s="381">
        <f t="shared" si="9"/>
        <v>0</v>
      </c>
      <c r="M18" s="719">
        <f t="shared" si="10"/>
        <v>0</v>
      </c>
      <c r="N18" s="826" t="s">
        <v>474</v>
      </c>
      <c r="AA18" s="298"/>
      <c r="AB18" s="299"/>
      <c r="AC18" s="186"/>
      <c r="AD18" s="226"/>
      <c r="AE18" s="186"/>
      <c r="AF18" s="226"/>
      <c r="AG18" s="186"/>
      <c r="AH18" s="226"/>
      <c r="AI18" s="380">
        <f t="shared" si="11"/>
        <v>0</v>
      </c>
      <c r="AJ18" s="381">
        <f t="shared" si="12"/>
        <v>0</v>
      </c>
      <c r="AK18" s="719">
        <f t="shared" si="13"/>
        <v>0</v>
      </c>
    </row>
    <row r="19" spans="1:37" ht="12.75" customHeight="1" x14ac:dyDescent="0.2">
      <c r="A19" s="135" t="s">
        <v>437</v>
      </c>
      <c r="B19" s="331" t="s">
        <v>438</v>
      </c>
      <c r="C19" s="723">
        <f t="shared" si="7"/>
        <v>0</v>
      </c>
      <c r="D19" s="727">
        <f t="shared" si="0"/>
        <v>0</v>
      </c>
      <c r="E19" s="725">
        <f t="shared" si="1"/>
        <v>0</v>
      </c>
      <c r="F19" s="726">
        <f t="shared" si="2"/>
        <v>0</v>
      </c>
      <c r="G19" s="725">
        <f t="shared" si="3"/>
        <v>0</v>
      </c>
      <c r="H19" s="726">
        <f t="shared" si="4"/>
        <v>0</v>
      </c>
      <c r="I19" s="725">
        <f t="shared" si="5"/>
        <v>0</v>
      </c>
      <c r="J19" s="728">
        <f t="shared" si="6"/>
        <v>0</v>
      </c>
      <c r="K19" s="380">
        <f t="shared" si="8"/>
        <v>0</v>
      </c>
      <c r="L19" s="381">
        <f t="shared" si="9"/>
        <v>0</v>
      </c>
      <c r="M19" s="719">
        <f t="shared" si="10"/>
        <v>0</v>
      </c>
      <c r="N19" s="826" t="s">
        <v>474</v>
      </c>
      <c r="AA19" s="298"/>
      <c r="AB19" s="300"/>
      <c r="AC19" s="186"/>
      <c r="AD19" s="226"/>
      <c r="AE19" s="186"/>
      <c r="AF19" s="226"/>
      <c r="AG19" s="186"/>
      <c r="AH19" s="230"/>
      <c r="AI19" s="380">
        <f t="shared" si="11"/>
        <v>0</v>
      </c>
      <c r="AJ19" s="381">
        <f t="shared" si="12"/>
        <v>0</v>
      </c>
      <c r="AK19" s="719">
        <f t="shared" si="13"/>
        <v>0</v>
      </c>
    </row>
    <row r="20" spans="1:37" ht="12.75" customHeight="1" x14ac:dyDescent="0.2">
      <c r="A20" s="135" t="s">
        <v>439</v>
      </c>
      <c r="B20" s="331" t="s">
        <v>440</v>
      </c>
      <c r="C20" s="723">
        <f t="shared" si="7"/>
        <v>0</v>
      </c>
      <c r="D20" s="724">
        <f t="shared" si="0"/>
        <v>0</v>
      </c>
      <c r="E20" s="725">
        <f t="shared" si="1"/>
        <v>0</v>
      </c>
      <c r="F20" s="726">
        <f t="shared" si="2"/>
        <v>0</v>
      </c>
      <c r="G20" s="725">
        <f t="shared" si="3"/>
        <v>0</v>
      </c>
      <c r="H20" s="726">
        <f t="shared" si="4"/>
        <v>0</v>
      </c>
      <c r="I20" s="725">
        <f t="shared" si="5"/>
        <v>0</v>
      </c>
      <c r="J20" s="726">
        <f t="shared" si="6"/>
        <v>0</v>
      </c>
      <c r="K20" s="380">
        <f t="shared" si="8"/>
        <v>0</v>
      </c>
      <c r="L20" s="381">
        <f t="shared" si="9"/>
        <v>0</v>
      </c>
      <c r="M20" s="719">
        <f t="shared" si="10"/>
        <v>0</v>
      </c>
      <c r="N20" s="826" t="s">
        <v>474</v>
      </c>
      <c r="AA20" s="298"/>
      <c r="AB20" s="299"/>
      <c r="AC20" s="186"/>
      <c r="AD20" s="226"/>
      <c r="AE20" s="186"/>
      <c r="AF20" s="226"/>
      <c r="AG20" s="186"/>
      <c r="AH20" s="226"/>
      <c r="AI20" s="380">
        <f t="shared" si="11"/>
        <v>0</v>
      </c>
      <c r="AJ20" s="381">
        <f t="shared" si="12"/>
        <v>0</v>
      </c>
      <c r="AK20" s="719">
        <f t="shared" si="13"/>
        <v>0</v>
      </c>
    </row>
    <row r="21" spans="1:37" ht="12.75" customHeight="1" x14ac:dyDescent="0.2">
      <c r="A21" s="135" t="s">
        <v>1000</v>
      </c>
      <c r="B21" s="331" t="s">
        <v>1004</v>
      </c>
      <c r="C21" s="723">
        <f t="shared" ref="C21:C25" si="14">ROUND(AA21,0)</f>
        <v>0</v>
      </c>
      <c r="D21" s="724">
        <f t="shared" ref="D21:D25" si="15">ROUND(AB21,0)</f>
        <v>0</v>
      </c>
      <c r="E21" s="725">
        <f t="shared" ref="E21:E25" si="16">ROUND(AC21,0)</f>
        <v>0</v>
      </c>
      <c r="F21" s="726">
        <f t="shared" ref="F21:F25" si="17">ROUND(AD21,0)</f>
        <v>0</v>
      </c>
      <c r="G21" s="725">
        <f t="shared" ref="G21:G25" si="18">ROUND(AE21,0)</f>
        <v>0</v>
      </c>
      <c r="H21" s="726">
        <f t="shared" ref="H21:H25" si="19">ROUND(AF21,0)</f>
        <v>0</v>
      </c>
      <c r="I21" s="725">
        <f t="shared" ref="I21:I25" si="20">ROUND(AG21,0)</f>
        <v>0</v>
      </c>
      <c r="J21" s="726">
        <f t="shared" ref="J21:J25" si="21">ROUND(AH21,0)</f>
        <v>0</v>
      </c>
      <c r="K21" s="380">
        <f t="shared" ref="K21:K25" si="22">E21+G21+I21</f>
        <v>0</v>
      </c>
      <c r="L21" s="381">
        <f t="shared" ref="L21:L25" si="23">F21+H21+J21</f>
        <v>0</v>
      </c>
      <c r="M21" s="719">
        <f t="shared" ref="M21:M25" si="24">K21+L21</f>
        <v>0</v>
      </c>
      <c r="N21" s="826" t="s">
        <v>267</v>
      </c>
      <c r="AA21" s="298"/>
      <c r="AB21" s="299"/>
      <c r="AC21" s="186"/>
      <c r="AD21" s="226"/>
      <c r="AE21" s="186"/>
      <c r="AF21" s="226"/>
      <c r="AG21" s="186"/>
      <c r="AH21" s="226"/>
      <c r="AI21" s="380">
        <f t="shared" ref="AI21:AI25" si="25">AC21+AE21+AG21</f>
        <v>0</v>
      </c>
      <c r="AJ21" s="381">
        <f t="shared" ref="AJ21:AJ25" si="26">AD21+AF21+AH21</f>
        <v>0</v>
      </c>
      <c r="AK21" s="719">
        <f t="shared" ref="AK21:AK25" si="27">AI21+AJ21</f>
        <v>0</v>
      </c>
    </row>
    <row r="22" spans="1:37" ht="12.75" customHeight="1" x14ac:dyDescent="0.2">
      <c r="A22" s="135" t="s">
        <v>1001</v>
      </c>
      <c r="B22" s="331" t="s">
        <v>1097</v>
      </c>
      <c r="C22" s="723">
        <f t="shared" si="14"/>
        <v>0</v>
      </c>
      <c r="D22" s="724">
        <f t="shared" si="15"/>
        <v>0</v>
      </c>
      <c r="E22" s="725">
        <f t="shared" si="16"/>
        <v>0</v>
      </c>
      <c r="F22" s="726">
        <f t="shared" si="17"/>
        <v>0</v>
      </c>
      <c r="G22" s="725">
        <f t="shared" si="18"/>
        <v>0</v>
      </c>
      <c r="H22" s="726">
        <f t="shared" si="19"/>
        <v>0</v>
      </c>
      <c r="I22" s="725">
        <f t="shared" si="20"/>
        <v>0</v>
      </c>
      <c r="J22" s="726">
        <f t="shared" si="21"/>
        <v>0</v>
      </c>
      <c r="K22" s="380">
        <f t="shared" si="22"/>
        <v>0</v>
      </c>
      <c r="L22" s="381">
        <f t="shared" si="23"/>
        <v>0</v>
      </c>
      <c r="M22" s="719">
        <f t="shared" si="24"/>
        <v>0</v>
      </c>
      <c r="N22" s="826" t="s">
        <v>267</v>
      </c>
      <c r="AA22" s="298"/>
      <c r="AB22" s="299"/>
      <c r="AC22" s="186"/>
      <c r="AD22" s="226"/>
      <c r="AE22" s="186"/>
      <c r="AF22" s="226"/>
      <c r="AG22" s="186"/>
      <c r="AH22" s="226"/>
      <c r="AI22" s="380">
        <f t="shared" si="25"/>
        <v>0</v>
      </c>
      <c r="AJ22" s="381">
        <f t="shared" si="26"/>
        <v>0</v>
      </c>
      <c r="AK22" s="719">
        <f t="shared" si="27"/>
        <v>0</v>
      </c>
    </row>
    <row r="23" spans="1:37" ht="12.75" customHeight="1" x14ac:dyDescent="0.2">
      <c r="A23" s="135" t="s">
        <v>1002</v>
      </c>
      <c r="B23" s="331" t="s">
        <v>1098</v>
      </c>
      <c r="C23" s="723">
        <f t="shared" si="14"/>
        <v>0</v>
      </c>
      <c r="D23" s="724">
        <f t="shared" si="15"/>
        <v>0</v>
      </c>
      <c r="E23" s="725">
        <f t="shared" si="16"/>
        <v>0</v>
      </c>
      <c r="F23" s="726">
        <f t="shared" si="17"/>
        <v>0</v>
      </c>
      <c r="G23" s="725">
        <f t="shared" si="18"/>
        <v>0</v>
      </c>
      <c r="H23" s="726">
        <f t="shared" si="19"/>
        <v>0</v>
      </c>
      <c r="I23" s="725">
        <f t="shared" si="20"/>
        <v>0</v>
      </c>
      <c r="J23" s="726">
        <f t="shared" si="21"/>
        <v>0</v>
      </c>
      <c r="K23" s="380">
        <f t="shared" si="22"/>
        <v>0</v>
      </c>
      <c r="L23" s="381">
        <f t="shared" si="23"/>
        <v>0</v>
      </c>
      <c r="M23" s="719">
        <f t="shared" si="24"/>
        <v>0</v>
      </c>
      <c r="N23" s="826" t="s">
        <v>267</v>
      </c>
      <c r="AA23" s="298"/>
      <c r="AB23" s="299"/>
      <c r="AC23" s="186"/>
      <c r="AD23" s="226"/>
      <c r="AE23" s="186"/>
      <c r="AF23" s="226"/>
      <c r="AG23" s="186"/>
      <c r="AH23" s="226"/>
      <c r="AI23" s="380">
        <f t="shared" si="25"/>
        <v>0</v>
      </c>
      <c r="AJ23" s="381">
        <f t="shared" si="26"/>
        <v>0</v>
      </c>
      <c r="AK23" s="719">
        <f t="shared" si="27"/>
        <v>0</v>
      </c>
    </row>
    <row r="24" spans="1:37" ht="12.75" customHeight="1" x14ac:dyDescent="0.2">
      <c r="A24" s="135" t="s">
        <v>1003</v>
      </c>
      <c r="B24" s="331" t="s">
        <v>1099</v>
      </c>
      <c r="C24" s="723">
        <f t="shared" si="14"/>
        <v>0</v>
      </c>
      <c r="D24" s="724">
        <f t="shared" si="15"/>
        <v>0</v>
      </c>
      <c r="E24" s="725">
        <f t="shared" si="16"/>
        <v>0</v>
      </c>
      <c r="F24" s="726">
        <f t="shared" si="17"/>
        <v>0</v>
      </c>
      <c r="G24" s="725">
        <f t="shared" si="18"/>
        <v>0</v>
      </c>
      <c r="H24" s="726">
        <f t="shared" si="19"/>
        <v>0</v>
      </c>
      <c r="I24" s="725">
        <f t="shared" si="20"/>
        <v>0</v>
      </c>
      <c r="J24" s="726">
        <f t="shared" si="21"/>
        <v>0</v>
      </c>
      <c r="K24" s="380">
        <f t="shared" si="22"/>
        <v>0</v>
      </c>
      <c r="L24" s="381">
        <f t="shared" si="23"/>
        <v>0</v>
      </c>
      <c r="M24" s="719">
        <f t="shared" si="24"/>
        <v>0</v>
      </c>
      <c r="N24" s="826" t="s">
        <v>267</v>
      </c>
      <c r="AA24" s="298"/>
      <c r="AB24" s="299"/>
      <c r="AC24" s="186"/>
      <c r="AD24" s="226"/>
      <c r="AE24" s="186"/>
      <c r="AF24" s="226"/>
      <c r="AG24" s="186"/>
      <c r="AH24" s="226"/>
      <c r="AI24" s="380">
        <f t="shared" si="25"/>
        <v>0</v>
      </c>
      <c r="AJ24" s="381">
        <f t="shared" si="26"/>
        <v>0</v>
      </c>
      <c r="AK24" s="719">
        <f t="shared" si="27"/>
        <v>0</v>
      </c>
    </row>
    <row r="25" spans="1:37" ht="12.75" customHeight="1" thickBot="1" x14ac:dyDescent="0.25">
      <c r="A25" s="135" t="s">
        <v>1096</v>
      </c>
      <c r="B25" s="332" t="s">
        <v>441</v>
      </c>
      <c r="C25" s="723">
        <f t="shared" si="14"/>
        <v>0</v>
      </c>
      <c r="D25" s="724">
        <f t="shared" si="15"/>
        <v>0</v>
      </c>
      <c r="E25" s="725">
        <f t="shared" si="16"/>
        <v>0</v>
      </c>
      <c r="F25" s="726">
        <f t="shared" si="17"/>
        <v>0</v>
      </c>
      <c r="G25" s="725">
        <f t="shared" si="18"/>
        <v>0</v>
      </c>
      <c r="H25" s="726">
        <f t="shared" si="19"/>
        <v>0</v>
      </c>
      <c r="I25" s="725">
        <f t="shared" si="20"/>
        <v>0</v>
      </c>
      <c r="J25" s="726">
        <f t="shared" si="21"/>
        <v>0</v>
      </c>
      <c r="K25" s="380">
        <f t="shared" si="22"/>
        <v>0</v>
      </c>
      <c r="L25" s="381">
        <f t="shared" si="23"/>
        <v>0</v>
      </c>
      <c r="M25" s="719">
        <f t="shared" si="24"/>
        <v>0</v>
      </c>
      <c r="N25" s="826" t="s">
        <v>267</v>
      </c>
      <c r="AA25" s="298"/>
      <c r="AB25" s="299"/>
      <c r="AC25" s="186"/>
      <c r="AD25" s="226"/>
      <c r="AE25" s="186"/>
      <c r="AF25" s="226"/>
      <c r="AG25" s="186"/>
      <c r="AH25" s="226"/>
      <c r="AI25" s="380">
        <f t="shared" si="25"/>
        <v>0</v>
      </c>
      <c r="AJ25" s="381">
        <f t="shared" si="26"/>
        <v>0</v>
      </c>
      <c r="AK25" s="719">
        <f t="shared" si="27"/>
        <v>0</v>
      </c>
    </row>
    <row r="26" spans="1:37" ht="15.75" customHeight="1" thickTop="1" thickBot="1" x14ac:dyDescent="0.25">
      <c r="A26" s="277" t="s">
        <v>60</v>
      </c>
      <c r="B26" s="10"/>
      <c r="C26" s="382">
        <f t="shared" ref="C26:L26" si="28">SUM(C6:C25)</f>
        <v>0</v>
      </c>
      <c r="D26" s="383">
        <f t="shared" si="28"/>
        <v>0</v>
      </c>
      <c r="E26" s="382">
        <f t="shared" si="28"/>
        <v>0</v>
      </c>
      <c r="F26" s="383">
        <f t="shared" si="28"/>
        <v>0</v>
      </c>
      <c r="G26" s="382">
        <f t="shared" si="28"/>
        <v>0</v>
      </c>
      <c r="H26" s="383">
        <f t="shared" si="28"/>
        <v>0</v>
      </c>
      <c r="I26" s="382">
        <f t="shared" si="28"/>
        <v>0</v>
      </c>
      <c r="J26" s="383">
        <f t="shared" si="28"/>
        <v>0</v>
      </c>
      <c r="K26" s="382">
        <f t="shared" si="28"/>
        <v>0</v>
      </c>
      <c r="L26" s="384">
        <f t="shared" si="28"/>
        <v>0</v>
      </c>
      <c r="M26" s="719"/>
      <c r="AA26" s="382">
        <f t="shared" ref="AA26:AJ26" si="29">SUM(AA6:AA25)</f>
        <v>0</v>
      </c>
      <c r="AB26" s="383">
        <f t="shared" si="29"/>
        <v>0</v>
      </c>
      <c r="AC26" s="382">
        <f t="shared" si="29"/>
        <v>0</v>
      </c>
      <c r="AD26" s="383">
        <f t="shared" si="29"/>
        <v>0</v>
      </c>
      <c r="AE26" s="382">
        <f t="shared" si="29"/>
        <v>0</v>
      </c>
      <c r="AF26" s="383">
        <f t="shared" si="29"/>
        <v>0</v>
      </c>
      <c r="AG26" s="382">
        <f t="shared" si="29"/>
        <v>0</v>
      </c>
      <c r="AH26" s="383">
        <f t="shared" si="29"/>
        <v>0</v>
      </c>
      <c r="AI26" s="382">
        <f t="shared" si="29"/>
        <v>0</v>
      </c>
      <c r="AJ26" s="384">
        <f t="shared" si="29"/>
        <v>0</v>
      </c>
      <c r="AK26" s="719"/>
    </row>
    <row r="27" spans="1:37" ht="18.75" customHeight="1" x14ac:dyDescent="0.2">
      <c r="A27" s="3" t="s">
        <v>165</v>
      </c>
    </row>
    <row r="28" spans="1:37" x14ac:dyDescent="0.2">
      <c r="A28" s="661" t="str">
        <f>"(*) inserire i dati comunicati nella tab.1 (colonna presenti al 31/12/"&amp;L1-1&amp;") della rilevazione dell'anno precedente"</f>
        <v>(*) inserire i dati comunicati nella tab.1 (colonna presenti al 31/12/2022) della rilevazione dell'anno precedente</v>
      </c>
    </row>
    <row r="29" spans="1:37" x14ac:dyDescent="0.2">
      <c r="A29" s="3" t="s">
        <v>139</v>
      </c>
    </row>
    <row r="30" spans="1:37" ht="13.2" x14ac:dyDescent="0.25">
      <c r="D30" s="662"/>
      <c r="AB30" s="662"/>
    </row>
  </sheetData>
  <sheetProtection algorithmName="SHA-512" hashValue="KKG/5lm7mlvzpTKZlHKwG2Dtz46kWutAFB3FeZY6LQ//i+uYRR91/OmXLI3EoUWfMpXxMT15j1Scl3JcUTaTog==" saltValue="0Mtt8o32I9JgR+MIy9ctyw==" spinCount="100000" sheet="1" formatColumns="0" selectLockedCells="1"/>
  <mergeCells count="5">
    <mergeCell ref="AE2:AJ2"/>
    <mergeCell ref="AA3:AJ3"/>
    <mergeCell ref="C3:L3"/>
    <mergeCell ref="B4:B5"/>
    <mergeCell ref="G2:L2"/>
  </mergeCells>
  <phoneticPr fontId="30" type="noConversion"/>
  <conditionalFormatting sqref="A6:L25 AA6:AJ25">
    <cfRule type="expression" dxfId="48" priority="2" stopIfTrue="1">
      <formula>$M6&gt;0</formula>
    </cfRule>
  </conditionalFormatting>
  <printOptions horizontalCentered="1" verticalCentered="1"/>
  <pageMargins left="0" right="0" top="0.15748031496062992" bottom="0.15748031496062992" header="0.19685039370078741" footer="0.19685039370078741"/>
  <pageSetup paperSize="9" scale="85" orientation="landscape" horizontalDpi="300" verticalDpi="4294967292"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oglio36">
    <tabColor rgb="FFCC0099"/>
  </sheetPr>
  <dimension ref="A1:Y28"/>
  <sheetViews>
    <sheetView showGridLines="0" workbookViewId="0">
      <pane xSplit="2" ySplit="5" topLeftCell="C6" activePane="bottomRight" state="frozen"/>
      <selection activeCell="A2" sqref="A2"/>
      <selection pane="topRight" activeCell="A2" sqref="A2"/>
      <selection pane="bottomLeft" activeCell="A2" sqref="A2"/>
      <selection pane="bottomRight" activeCell="E4" sqref="E4"/>
    </sheetView>
  </sheetViews>
  <sheetFormatPr defaultRowHeight="10.199999999999999" x14ac:dyDescent="0.2"/>
  <cols>
    <col min="1" max="1" width="52" style="3" customWidth="1"/>
    <col min="2" max="2" width="10" style="2" customWidth="1"/>
    <col min="3" max="5" width="10.7109375" style="2" customWidth="1"/>
    <col min="6" max="8" width="11.7109375" style="2" customWidth="1"/>
    <col min="9" max="15" width="13.7109375" style="2" customWidth="1"/>
    <col min="16" max="20" width="14.7109375" style="2" customWidth="1"/>
    <col min="21" max="21" width="9.28515625" style="95" customWidth="1"/>
  </cols>
  <sheetData>
    <row r="1" spans="1:24" s="3" customFormat="1" ht="43.5" customHeight="1" x14ac:dyDescent="0.2">
      <c r="A1" s="1463" t="str">
        <f>'t1'!A1</f>
        <v>ENTI PUBBLICI NON ECONOMICI - anno 2023</v>
      </c>
      <c r="B1" s="1463"/>
      <c r="C1" s="1463"/>
      <c r="D1" s="1463"/>
      <c r="E1" s="1463"/>
      <c r="F1" s="1463"/>
      <c r="G1" s="1463"/>
      <c r="H1" s="1463"/>
      <c r="I1" s="1463"/>
      <c r="J1" s="320"/>
      <c r="K1" s="320"/>
      <c r="L1" s="320"/>
      <c r="M1" s="320"/>
      <c r="N1" s="320"/>
      <c r="O1" s="320"/>
      <c r="P1" s="320"/>
      <c r="Q1" s="320"/>
      <c r="R1" s="320"/>
      <c r="S1" s="320"/>
      <c r="T1" s="320"/>
      <c r="X1"/>
    </row>
    <row r="2" spans="1:24" s="3" customFormat="1" ht="21" customHeight="1" x14ac:dyDescent="0.2">
      <c r="I2" s="514"/>
      <c r="J2" s="514"/>
      <c r="K2" s="514"/>
      <c r="L2" s="514"/>
      <c r="M2" s="514"/>
      <c r="N2" s="514"/>
      <c r="O2" s="514"/>
      <c r="P2" s="514"/>
      <c r="Q2" s="514"/>
      <c r="R2" s="514"/>
      <c r="S2" s="514"/>
      <c r="T2" s="514"/>
      <c r="U2" s="290"/>
      <c r="X2"/>
    </row>
    <row r="3" spans="1:24" s="3" customFormat="1" ht="21" customHeight="1" x14ac:dyDescent="0.25">
      <c r="A3" s="173" t="s">
        <v>312</v>
      </c>
      <c r="B3" s="2"/>
      <c r="C3" s="2"/>
      <c r="D3" s="2"/>
    </row>
    <row r="4" spans="1:24" s="3" customFormat="1" ht="21" customHeight="1" x14ac:dyDescent="0.25">
      <c r="A4" s="173"/>
      <c r="B4" s="2"/>
      <c r="C4" s="2"/>
      <c r="D4" s="2"/>
      <c r="F4" s="1585" t="s">
        <v>313</v>
      </c>
      <c r="G4" s="1586"/>
      <c r="H4" s="1587"/>
      <c r="I4" s="1585" t="s">
        <v>403</v>
      </c>
      <c r="J4" s="1586"/>
      <c r="K4" s="1586"/>
      <c r="L4" s="1586"/>
      <c r="M4" s="1586"/>
      <c r="N4" s="1586"/>
      <c r="O4" s="1587"/>
      <c r="P4" s="1585" t="s">
        <v>404</v>
      </c>
      <c r="Q4" s="1586"/>
      <c r="R4" s="1586"/>
      <c r="S4" s="1586"/>
      <c r="T4" s="1587"/>
    </row>
    <row r="5" spans="1:24" ht="64.8" x14ac:dyDescent="0.2">
      <c r="A5" s="515" t="s">
        <v>218</v>
      </c>
      <c r="B5" s="516" t="s">
        <v>180</v>
      </c>
      <c r="C5" s="517" t="str">
        <f>"presenti al 31/12/"&amp;'t1'!L1&amp;" (tab.1)"</f>
        <v>presenti al 31/12/2023 (tab.1)</v>
      </c>
      <c r="D5" s="517" t="s">
        <v>10</v>
      </c>
      <c r="E5" s="516" t="s">
        <v>314</v>
      </c>
      <c r="F5" s="518" t="str">
        <f>'t11'!C4</f>
        <v>FERIE</v>
      </c>
      <c r="G5" s="518" t="s">
        <v>315</v>
      </c>
      <c r="H5" s="518" t="s">
        <v>316</v>
      </c>
      <c r="I5" s="518" t="s">
        <v>727</v>
      </c>
      <c r="J5" s="518" t="str">
        <f>'t12'!E4</f>
        <v>R.I.A.</v>
      </c>
      <c r="K5" s="518" t="str">
        <f>'t12'!G4</f>
        <v xml:space="preserve">PROGRESSIONI CLASSI E SCATTI/FASCE/DIFFERENZIALI STIPENDIALI  </v>
      </c>
      <c r="L5" s="518" t="str">
        <f>'t12'!H4</f>
        <v>TREDICESIMA MENSILTA'</v>
      </c>
      <c r="M5" s="519" t="s">
        <v>317</v>
      </c>
      <c r="N5" s="520" t="str">
        <f>'t12'!I4</f>
        <v>ARRETRATI  ANNI PRECEDENTI</v>
      </c>
      <c r="O5" s="520" t="str">
        <f>'t12'!J4</f>
        <v>RECUPERI DERIVANTI DA ASSENZE, RITARDI, ECC.</v>
      </c>
      <c r="P5" s="518" t="s">
        <v>286</v>
      </c>
      <c r="Q5" s="518" t="s">
        <v>318</v>
      </c>
      <c r="R5" s="518" t="s">
        <v>319</v>
      </c>
      <c r="S5" s="519" t="s">
        <v>320</v>
      </c>
      <c r="T5" s="520" t="str">
        <f>'t13'!S4</f>
        <v>ARRETRATI ANNI PRECEDENTI</v>
      </c>
    </row>
    <row r="6" spans="1:24" x14ac:dyDescent="0.2">
      <c r="A6" s="118" t="str">
        <f>'t1'!A6</f>
        <v>DIRETTORE GENERALE</v>
      </c>
      <c r="B6" s="92" t="str">
        <f>'t1'!B6</f>
        <v>0D0097</v>
      </c>
      <c r="C6" s="521">
        <f>'t1'!K6+'t1'!L6</f>
        <v>0</v>
      </c>
      <c r="D6" s="521">
        <f>('t1'!K6+'t1'!L6)-SUM('t3'!C6:F6,'t3'!I6:J6)+SUM('t3'!K6:N6)</f>
        <v>0</v>
      </c>
      <c r="E6" s="522">
        <f>'t12'!C6/12</f>
        <v>0</v>
      </c>
      <c r="F6" s="522" t="str">
        <f>IF($D6&gt;0,(('t11'!C8+'t11'!D8)/$D6)," ")</f>
        <v xml:space="preserve"> </v>
      </c>
      <c r="G6" s="522" t="str">
        <f>IF($D6&gt;0,(SUM('t11'!E8:N8)/$D6)," ")</f>
        <v xml:space="preserve"> </v>
      </c>
      <c r="H6" s="522" t="str">
        <f>IF($D6&gt;0,(SUM('t11'!O8:R8)/$D6)," ")</f>
        <v xml:space="preserve"> </v>
      </c>
      <c r="I6" s="523" t="str">
        <f>IF($E6=0," ",('t12'!D6)/$E6)</f>
        <v xml:space="preserve"> </v>
      </c>
      <c r="J6" s="523" t="str">
        <f>IF($E6=0," ",'t12'!E6/$E6)</f>
        <v xml:space="preserve"> </v>
      </c>
      <c r="K6" s="523" t="str">
        <f>IF($E6=0," ",'t12'!F6/$E6)</f>
        <v xml:space="preserve"> </v>
      </c>
      <c r="L6" s="523" t="str">
        <f>IF($E6=0," ",'t12'!H6/$E6)</f>
        <v xml:space="preserve"> </v>
      </c>
      <c r="M6" s="524">
        <f>SUM(I6:L6)</f>
        <v>0</v>
      </c>
      <c r="N6" s="525" t="str">
        <f>IF($E6=0," ",'t12'!I6/$E6)</f>
        <v xml:space="preserve"> </v>
      </c>
      <c r="O6" s="525" t="str">
        <f>IF($E6=0," ",'t12'!J6/$E6)</f>
        <v xml:space="preserve"> </v>
      </c>
      <c r="P6" s="523" t="str">
        <f>IF($E6=0," ",'t13'!U6/$E6)</f>
        <v xml:space="preserve"> </v>
      </c>
      <c r="Q6" s="523" t="str">
        <f>IF($E6=0," ",SUM('t13'!C6:J6)/$E6)</f>
        <v xml:space="preserve"> </v>
      </c>
      <c r="R6" s="523" t="str">
        <f>IF($E6=0," ",(SUM('t13'!K6:R6)+'t13'!T6)/$E6)</f>
        <v xml:space="preserve"> </v>
      </c>
      <c r="S6" s="524">
        <f>SUM(P6:R6)</f>
        <v>0</v>
      </c>
      <c r="T6" s="525" t="str">
        <f>IF($E6=0," ",'t13'!S6/$E6)</f>
        <v xml:space="preserve"> </v>
      </c>
    </row>
    <row r="7" spans="1:24" x14ac:dyDescent="0.2">
      <c r="A7" s="118" t="str">
        <f>'t1'!A7</f>
        <v>DIRIGENTE I FASCIA</v>
      </c>
      <c r="B7" s="92" t="str">
        <f>'t1'!B7</f>
        <v>0D0077</v>
      </c>
      <c r="C7" s="521">
        <f>'t1'!K7+'t1'!L7</f>
        <v>0</v>
      </c>
      <c r="D7" s="521">
        <f>('t1'!K7+'t1'!L7)-SUM('t3'!C7:F7,'t3'!I7:J7)+SUM('t3'!K7:N7)</f>
        <v>0</v>
      </c>
      <c r="E7" s="522">
        <f>'t12'!C7/12</f>
        <v>0</v>
      </c>
      <c r="F7" s="522" t="str">
        <f>IF($D7&gt;0,(('t11'!C9+'t11'!D9)/$D7)," ")</f>
        <v xml:space="preserve"> </v>
      </c>
      <c r="G7" s="522" t="str">
        <f>IF($D7&gt;0,(SUM('t11'!E9:N9)/$D7)," ")</f>
        <v xml:space="preserve"> </v>
      </c>
      <c r="H7" s="522" t="str">
        <f>IF($D7&gt;0,(SUM('t11'!O9:R9)/$D7)," ")</f>
        <v xml:space="preserve"> </v>
      </c>
      <c r="I7" s="523" t="str">
        <f>IF($E7=0," ",('t12'!D7)/$E7)</f>
        <v xml:space="preserve"> </v>
      </c>
      <c r="J7" s="523" t="str">
        <f>IF($E7=0," ",'t12'!E7/$E7)</f>
        <v xml:space="preserve"> </v>
      </c>
      <c r="K7" s="523" t="str">
        <f>IF($E7=0," ",'t12'!F7/$E7)</f>
        <v xml:space="preserve"> </v>
      </c>
      <c r="L7" s="523" t="str">
        <f>IF($E7=0," ",'t12'!H7/$E7)</f>
        <v xml:space="preserve"> </v>
      </c>
      <c r="M7" s="524">
        <f t="shared" ref="M7:M20" si="0">SUM(I7:L7)</f>
        <v>0</v>
      </c>
      <c r="N7" s="525" t="str">
        <f>IF($E7=0," ",'t12'!I7/$E7)</f>
        <v xml:space="preserve"> </v>
      </c>
      <c r="O7" s="525" t="str">
        <f>IF($E7=0," ",'t12'!J7/$E7)</f>
        <v xml:space="preserve"> </v>
      </c>
      <c r="P7" s="523" t="str">
        <f>IF($E7=0," ",'t13'!U7/$E7)</f>
        <v xml:space="preserve"> </v>
      </c>
      <c r="Q7" s="523" t="str">
        <f>IF($E7=0," ",SUM('t13'!C7:J7)/$E7)</f>
        <v xml:space="preserve"> </v>
      </c>
      <c r="R7" s="523" t="str">
        <f>IF($E7=0," ",(SUM('t13'!K7:R7)+'t13'!T7)/$E7)</f>
        <v xml:space="preserve"> </v>
      </c>
      <c r="S7" s="524">
        <f t="shared" ref="S7:S20" si="1">SUM(P7:R7)</f>
        <v>0</v>
      </c>
      <c r="T7" s="525" t="str">
        <f>IF($E7=0," ",'t13'!S7/$E7)</f>
        <v xml:space="preserve"> </v>
      </c>
    </row>
    <row r="8" spans="1:24" x14ac:dyDescent="0.2">
      <c r="A8" s="118" t="str">
        <f>'t1'!A8</f>
        <v>DIRIGENTE I FASCIA A TEMPO DETERM.</v>
      </c>
      <c r="B8" s="92" t="str">
        <f>'t1'!B8</f>
        <v>0D0078</v>
      </c>
      <c r="C8" s="521">
        <f>'t1'!K8+'t1'!L8</f>
        <v>0</v>
      </c>
      <c r="D8" s="521">
        <f>('t1'!K8+'t1'!L8)-SUM('t3'!C8:F8,'t3'!I8:J8)+SUM('t3'!K8:N8)</f>
        <v>0</v>
      </c>
      <c r="E8" s="522">
        <f>'t12'!C8/12</f>
        <v>0</v>
      </c>
      <c r="F8" s="522" t="str">
        <f>IF($D8&gt;0,(('t11'!C10+'t11'!D10)/$D8)," ")</f>
        <v xml:space="preserve"> </v>
      </c>
      <c r="G8" s="522" t="str">
        <f>IF($D8&gt;0,(SUM('t11'!E10:N10)/$D8)," ")</f>
        <v xml:space="preserve"> </v>
      </c>
      <c r="H8" s="522" t="str">
        <f>IF($D8&gt;0,(SUM('t11'!O10:R10)/$D8)," ")</f>
        <v xml:space="preserve"> </v>
      </c>
      <c r="I8" s="523" t="str">
        <f>IF($E8=0," ",('t12'!D8)/$E8)</f>
        <v xml:space="preserve"> </v>
      </c>
      <c r="J8" s="523" t="str">
        <f>IF($E8=0," ",'t12'!E8/$E8)</f>
        <v xml:space="preserve"> </v>
      </c>
      <c r="K8" s="523" t="str">
        <f>IF($E8=0," ",'t12'!F8/$E8)</f>
        <v xml:space="preserve"> </v>
      </c>
      <c r="L8" s="523" t="str">
        <f>IF($E8=0," ",'t12'!H8/$E8)</f>
        <v xml:space="preserve"> </v>
      </c>
      <c r="M8" s="524">
        <f t="shared" si="0"/>
        <v>0</v>
      </c>
      <c r="N8" s="525" t="str">
        <f>IF($E8=0," ",'t12'!I8/$E8)</f>
        <v xml:space="preserve"> </v>
      </c>
      <c r="O8" s="525" t="str">
        <f>IF($E8=0," ",'t12'!J8/$E8)</f>
        <v xml:space="preserve"> </v>
      </c>
      <c r="P8" s="523" t="str">
        <f>IF($E8=0," ",'t13'!U8/$E8)</f>
        <v xml:space="preserve"> </v>
      </c>
      <c r="Q8" s="523" t="str">
        <f>IF($E8=0," ",SUM('t13'!C8:J8)/$E8)</f>
        <v xml:space="preserve"> </v>
      </c>
      <c r="R8" s="523" t="str">
        <f>IF($E8=0," ",(SUM('t13'!K8:R8)+'t13'!T8)/$E8)</f>
        <v xml:space="preserve"> </v>
      </c>
      <c r="S8" s="524">
        <f t="shared" si="1"/>
        <v>0</v>
      </c>
      <c r="T8" s="525" t="str">
        <f>IF($E8=0," ",'t13'!S8/$E8)</f>
        <v xml:space="preserve"> </v>
      </c>
    </row>
    <row r="9" spans="1:24" x14ac:dyDescent="0.2">
      <c r="A9" s="118" t="str">
        <f>'t1'!A9</f>
        <v>DIRIGENTE II FASCIA</v>
      </c>
      <c r="B9" s="92" t="str">
        <f>'t1'!B9</f>
        <v>0D0079</v>
      </c>
      <c r="C9" s="521">
        <f>'t1'!K9+'t1'!L9</f>
        <v>0</v>
      </c>
      <c r="D9" s="521">
        <f>('t1'!K9+'t1'!L9)-SUM('t3'!C9:F9,'t3'!I9:J9)+SUM('t3'!K9:N9)</f>
        <v>0</v>
      </c>
      <c r="E9" s="522">
        <f>'t12'!C9/12</f>
        <v>0</v>
      </c>
      <c r="F9" s="522" t="str">
        <f>IF($D9&gt;0,(('t11'!C11+'t11'!D11)/$D9)," ")</f>
        <v xml:space="preserve"> </v>
      </c>
      <c r="G9" s="522" t="str">
        <f>IF($D9&gt;0,(SUM('t11'!E11:N11)/$D9)," ")</f>
        <v xml:space="preserve"> </v>
      </c>
      <c r="H9" s="522" t="str">
        <f>IF($D9&gt;0,(SUM('t11'!O11:R11)/$D9)," ")</f>
        <v xml:space="preserve"> </v>
      </c>
      <c r="I9" s="523" t="str">
        <f>IF($E9=0," ",('t12'!D9)/$E9)</f>
        <v xml:space="preserve"> </v>
      </c>
      <c r="J9" s="523" t="str">
        <f>IF($E9=0," ",'t12'!E9/$E9)</f>
        <v xml:space="preserve"> </v>
      </c>
      <c r="K9" s="523" t="str">
        <f>IF($E9=0," ",'t12'!F9/$E9)</f>
        <v xml:space="preserve"> </v>
      </c>
      <c r="L9" s="523" t="str">
        <f>IF($E9=0," ",'t12'!H9/$E9)</f>
        <v xml:space="preserve"> </v>
      </c>
      <c r="M9" s="524">
        <f t="shared" si="0"/>
        <v>0</v>
      </c>
      <c r="N9" s="525" t="str">
        <f>IF($E9=0," ",'t12'!I9/$E9)</f>
        <v xml:space="preserve"> </v>
      </c>
      <c r="O9" s="525" t="str">
        <f>IF($E9=0," ",'t12'!J9/$E9)</f>
        <v xml:space="preserve"> </v>
      </c>
      <c r="P9" s="523" t="str">
        <f>IF($E9=0," ",'t13'!U9/$E9)</f>
        <v xml:space="preserve"> </v>
      </c>
      <c r="Q9" s="523" t="str">
        <f>IF($E9=0," ",SUM('t13'!C9:J9)/$E9)</f>
        <v xml:space="preserve"> </v>
      </c>
      <c r="R9" s="523" t="str">
        <f>IF($E9=0," ",(SUM('t13'!K9:R9)+'t13'!T9)/$E9)</f>
        <v xml:space="preserve"> </v>
      </c>
      <c r="S9" s="524">
        <f t="shared" si="1"/>
        <v>0</v>
      </c>
      <c r="T9" s="525" t="str">
        <f>IF($E9=0," ",'t13'!S9/$E9)</f>
        <v xml:space="preserve"> </v>
      </c>
    </row>
    <row r="10" spans="1:24" x14ac:dyDescent="0.2">
      <c r="A10" s="118" t="str">
        <f>'t1'!A10</f>
        <v>DIRIGENTE II FASCIA A TEMPO DETERM.</v>
      </c>
      <c r="B10" s="92" t="str">
        <f>'t1'!B10</f>
        <v>0D0080</v>
      </c>
      <c r="C10" s="521">
        <f>'t1'!K10+'t1'!L10</f>
        <v>0</v>
      </c>
      <c r="D10" s="521">
        <f>('t1'!K10+'t1'!L10)-SUM('t3'!C10:F10,'t3'!I10:J10)+SUM('t3'!K10:N10)</f>
        <v>0</v>
      </c>
      <c r="E10" s="522">
        <f>'t12'!C10/12</f>
        <v>0</v>
      </c>
      <c r="F10" s="522" t="str">
        <f>IF($D10&gt;0,(('t11'!C12+'t11'!D12)/$D10)," ")</f>
        <v xml:space="preserve"> </v>
      </c>
      <c r="G10" s="522" t="str">
        <f>IF($D10&gt;0,(SUM('t11'!E12:N12)/$D10)," ")</f>
        <v xml:space="preserve"> </v>
      </c>
      <c r="H10" s="522" t="str">
        <f>IF($D10&gt;0,(SUM('t11'!O12:R12)/$D10)," ")</f>
        <v xml:space="preserve"> </v>
      </c>
      <c r="I10" s="523" t="str">
        <f>IF($E10=0," ",('t12'!D10)/$E10)</f>
        <v xml:space="preserve"> </v>
      </c>
      <c r="J10" s="523" t="str">
        <f>IF($E10=0," ",'t12'!E10/$E10)</f>
        <v xml:space="preserve"> </v>
      </c>
      <c r="K10" s="523" t="str">
        <f>IF($E10=0," ",'t12'!F10/$E10)</f>
        <v xml:space="preserve"> </v>
      </c>
      <c r="L10" s="523" t="str">
        <f>IF($E10=0," ",'t12'!H10/$E10)</f>
        <v xml:space="preserve"> </v>
      </c>
      <c r="M10" s="524">
        <f t="shared" si="0"/>
        <v>0</v>
      </c>
      <c r="N10" s="525" t="str">
        <f>IF($E10=0," ",'t12'!I10/$E10)</f>
        <v xml:space="preserve"> </v>
      </c>
      <c r="O10" s="525" t="str">
        <f>IF($E10=0," ",'t12'!J10/$E10)</f>
        <v xml:space="preserve"> </v>
      </c>
      <c r="P10" s="523" t="str">
        <f>IF($E10=0," ",'t13'!U10/$E10)</f>
        <v xml:space="preserve"> </v>
      </c>
      <c r="Q10" s="523" t="str">
        <f>IF($E10=0," ",SUM('t13'!C10:J10)/$E10)</f>
        <v xml:space="preserve"> </v>
      </c>
      <c r="R10" s="523" t="str">
        <f>IF($E10=0," ",(SUM('t13'!K10:R10)+'t13'!T10)/$E10)</f>
        <v xml:space="preserve"> </v>
      </c>
      <c r="S10" s="524">
        <f t="shared" si="1"/>
        <v>0</v>
      </c>
      <c r="T10" s="525" t="str">
        <f>IF($E10=0," ",'t13'!S10/$E10)</f>
        <v xml:space="preserve"> </v>
      </c>
    </row>
    <row r="11" spans="1:24" x14ac:dyDescent="0.2">
      <c r="A11" s="118" t="str">
        <f>'t1'!A11</f>
        <v>MEDICO II FASCIA T.P.</v>
      </c>
      <c r="B11" s="92" t="str">
        <f>'t1'!B11</f>
        <v>0D0584</v>
      </c>
      <c r="C11" s="521">
        <f>'t1'!K11+'t1'!L11</f>
        <v>0</v>
      </c>
      <c r="D11" s="521">
        <f>('t1'!K11+'t1'!L11)-SUM('t3'!C11:F11,'t3'!I11:J11)+SUM('t3'!K11:N11)</f>
        <v>0</v>
      </c>
      <c r="E11" s="522">
        <f>'t12'!C11/12</f>
        <v>0</v>
      </c>
      <c r="F11" s="522" t="str">
        <f>IF($D11&gt;0,(('t11'!C13+'t11'!D13)/$D11)," ")</f>
        <v xml:space="preserve"> </v>
      </c>
      <c r="G11" s="522" t="str">
        <f>IF($D11&gt;0,(SUM('t11'!E13:N13)/$D11)," ")</f>
        <v xml:space="preserve"> </v>
      </c>
      <c r="H11" s="522" t="str">
        <f>IF($D11&gt;0,(SUM('t11'!O13:R13)/$D11)," ")</f>
        <v xml:space="preserve"> </v>
      </c>
      <c r="I11" s="523" t="str">
        <f>IF($E11=0," ",('t12'!D11)/$E11)</f>
        <v xml:space="preserve"> </v>
      </c>
      <c r="J11" s="523" t="str">
        <f>IF($E11=0," ",'t12'!E11/$E11)</f>
        <v xml:space="preserve"> </v>
      </c>
      <c r="K11" s="523" t="str">
        <f>IF($E11=0," ",'t12'!F11/$E11)</f>
        <v xml:space="preserve"> </v>
      </c>
      <c r="L11" s="523" t="str">
        <f>IF($E11=0," ",'t12'!H11/$E11)</f>
        <v xml:space="preserve"> </v>
      </c>
      <c r="M11" s="524">
        <f t="shared" si="0"/>
        <v>0</v>
      </c>
      <c r="N11" s="525" t="str">
        <f>IF($E11=0," ",'t12'!I11/$E11)</f>
        <v xml:space="preserve"> </v>
      </c>
      <c r="O11" s="525" t="str">
        <f>IF($E11=0," ",'t12'!J11/$E11)</f>
        <v xml:space="preserve"> </v>
      </c>
      <c r="P11" s="523" t="str">
        <f>IF($E11=0," ",'t13'!U11/$E11)</f>
        <v xml:space="preserve"> </v>
      </c>
      <c r="Q11" s="523" t="str">
        <f>IF($E11=0," ",SUM('t13'!C11:J11)/$E11)</f>
        <v xml:space="preserve"> </v>
      </c>
      <c r="R11" s="523" t="str">
        <f>IF($E11=0," ",(SUM('t13'!K11:R11)+'t13'!T11)/$E11)</f>
        <v xml:space="preserve"> </v>
      </c>
      <c r="S11" s="524">
        <f t="shared" si="1"/>
        <v>0</v>
      </c>
      <c r="T11" s="525" t="str">
        <f>IF($E11=0," ",'t13'!S11/$E11)</f>
        <v xml:space="preserve"> </v>
      </c>
    </row>
    <row r="12" spans="1:24" x14ac:dyDescent="0.2">
      <c r="A12" s="118" t="str">
        <f>'t1'!A12</f>
        <v>MEDICO I FASCIA T.P.</v>
      </c>
      <c r="B12" s="92" t="str">
        <f>'t1'!B12</f>
        <v>0D0585</v>
      </c>
      <c r="C12" s="521">
        <f>'t1'!K12+'t1'!L12</f>
        <v>0</v>
      </c>
      <c r="D12" s="521">
        <f>('t1'!K12+'t1'!L12)-SUM('t3'!C12:F12,'t3'!I12:J12)+SUM('t3'!K12:N12)</f>
        <v>0</v>
      </c>
      <c r="E12" s="522">
        <f>'t12'!C12/12</f>
        <v>0</v>
      </c>
      <c r="F12" s="522" t="str">
        <f>IF($D12&gt;0,(('t11'!C14+'t11'!D14)/$D12)," ")</f>
        <v xml:space="preserve"> </v>
      </c>
      <c r="G12" s="522" t="str">
        <f>IF($D12&gt;0,(SUM('t11'!E14:N14)/$D12)," ")</f>
        <v xml:space="preserve"> </v>
      </c>
      <c r="H12" s="522" t="str">
        <f>IF($D12&gt;0,(SUM('t11'!O14:R14)/$D12)," ")</f>
        <v xml:space="preserve"> </v>
      </c>
      <c r="I12" s="523" t="str">
        <f>IF($E12=0," ",('t12'!D12)/$E12)</f>
        <v xml:space="preserve"> </v>
      </c>
      <c r="J12" s="523" t="str">
        <f>IF($E12=0," ",'t12'!E12/$E12)</f>
        <v xml:space="preserve"> </v>
      </c>
      <c r="K12" s="523" t="str">
        <f>IF($E12=0," ",'t12'!F12/$E12)</f>
        <v xml:space="preserve"> </v>
      </c>
      <c r="L12" s="523" t="str">
        <f>IF($E12=0," ",'t12'!H12/$E12)</f>
        <v xml:space="preserve"> </v>
      </c>
      <c r="M12" s="524">
        <f t="shared" si="0"/>
        <v>0</v>
      </c>
      <c r="N12" s="525" t="str">
        <f>IF($E12=0," ",'t12'!I12/$E12)</f>
        <v xml:space="preserve"> </v>
      </c>
      <c r="O12" s="525" t="str">
        <f>IF($E12=0," ",'t12'!J12/$E12)</f>
        <v xml:space="preserve"> </v>
      </c>
      <c r="P12" s="523" t="str">
        <f>IF($E12=0," ",'t13'!U12/$E12)</f>
        <v xml:space="preserve"> </v>
      </c>
      <c r="Q12" s="523" t="str">
        <f>IF($E12=0," ",SUM('t13'!C12:J12)/$E12)</f>
        <v xml:space="preserve"> </v>
      </c>
      <c r="R12" s="523" t="str">
        <f>IF($E12=0," ",(SUM('t13'!K12:R12)+'t13'!T12)/$E12)</f>
        <v xml:space="preserve"> </v>
      </c>
      <c r="S12" s="524">
        <f t="shared" si="1"/>
        <v>0</v>
      </c>
      <c r="T12" s="525" t="str">
        <f>IF($E12=0," ",'t13'!S12/$E12)</f>
        <v xml:space="preserve"> </v>
      </c>
    </row>
    <row r="13" spans="1:24" x14ac:dyDescent="0.2">
      <c r="A13" s="118" t="str">
        <f>'t1'!A13</f>
        <v>MEDICO II FASCIA T.D.</v>
      </c>
      <c r="B13" s="92" t="str">
        <f>'t1'!B13</f>
        <v>0D0586</v>
      </c>
      <c r="C13" s="521">
        <f>'t1'!K13+'t1'!L13</f>
        <v>0</v>
      </c>
      <c r="D13" s="521">
        <f>('t1'!K13+'t1'!L13)-SUM('t3'!C13:F13,'t3'!I13:J13)+SUM('t3'!K13:N13)</f>
        <v>0</v>
      </c>
      <c r="E13" s="522">
        <f>'t12'!C13/12</f>
        <v>0</v>
      </c>
      <c r="F13" s="522" t="str">
        <f>IF($D13&gt;0,(('t11'!C15+'t11'!D15)/$D13)," ")</f>
        <v xml:space="preserve"> </v>
      </c>
      <c r="G13" s="522" t="str">
        <f>IF($D13&gt;0,(SUM('t11'!E15:N15)/$D13)," ")</f>
        <v xml:space="preserve"> </v>
      </c>
      <c r="H13" s="522" t="str">
        <f>IF($D13&gt;0,(SUM('t11'!O15:R15)/$D13)," ")</f>
        <v xml:space="preserve"> </v>
      </c>
      <c r="I13" s="523" t="str">
        <f>IF($E13=0," ",('t12'!D13)/$E13)</f>
        <v xml:space="preserve"> </v>
      </c>
      <c r="J13" s="523" t="str">
        <f>IF($E13=0," ",'t12'!E13/$E13)</f>
        <v xml:space="preserve"> </v>
      </c>
      <c r="K13" s="523" t="str">
        <f>IF($E13=0," ",'t12'!F13/$E13)</f>
        <v xml:space="preserve"> </v>
      </c>
      <c r="L13" s="523" t="str">
        <f>IF($E13=0," ",'t12'!H13/$E13)</f>
        <v xml:space="preserve"> </v>
      </c>
      <c r="M13" s="524">
        <f t="shared" si="0"/>
        <v>0</v>
      </c>
      <c r="N13" s="525" t="str">
        <f>IF($E13=0," ",'t12'!I13/$E13)</f>
        <v xml:space="preserve"> </v>
      </c>
      <c r="O13" s="525" t="str">
        <f>IF($E13=0," ",'t12'!J13/$E13)</f>
        <v xml:space="preserve"> </v>
      </c>
      <c r="P13" s="523" t="str">
        <f>IF($E13=0," ",'t13'!U13/$E13)</f>
        <v xml:space="preserve"> </v>
      </c>
      <c r="Q13" s="523" t="str">
        <f>IF($E13=0," ",SUM('t13'!C13:J13)/$E13)</f>
        <v xml:space="preserve"> </v>
      </c>
      <c r="R13" s="523" t="str">
        <f>IF($E13=0," ",(SUM('t13'!K13:R13)+'t13'!T13)/$E13)</f>
        <v xml:space="preserve"> </v>
      </c>
      <c r="S13" s="524">
        <f t="shared" si="1"/>
        <v>0</v>
      </c>
      <c r="T13" s="525" t="str">
        <f>IF($E13=0," ",'t13'!S13/$E13)</f>
        <v xml:space="preserve"> </v>
      </c>
    </row>
    <row r="14" spans="1:24" x14ac:dyDescent="0.2">
      <c r="A14" s="118" t="str">
        <f>'t1'!A14</f>
        <v>MEDICO I FASCIA T.D.</v>
      </c>
      <c r="B14" s="92" t="str">
        <f>'t1'!B14</f>
        <v>0D0496</v>
      </c>
      <c r="C14" s="521">
        <f>'t1'!K14+'t1'!L14</f>
        <v>0</v>
      </c>
      <c r="D14" s="521">
        <f>('t1'!K14+'t1'!L14)-SUM('t3'!C14:F14,'t3'!I14:J14)+SUM('t3'!K14:N14)</f>
        <v>0</v>
      </c>
      <c r="E14" s="522">
        <f>'t12'!C14/12</f>
        <v>0</v>
      </c>
      <c r="F14" s="522" t="str">
        <f>IF($D14&gt;0,(('t11'!C16+'t11'!D16)/$D14)," ")</f>
        <v xml:space="preserve"> </v>
      </c>
      <c r="G14" s="522" t="str">
        <f>IF($D14&gt;0,(SUM('t11'!E16:N16)/$D14)," ")</f>
        <v xml:space="preserve"> </v>
      </c>
      <c r="H14" s="522" t="str">
        <f>IF($D14&gt;0,(SUM('t11'!O16:R16)/$D14)," ")</f>
        <v xml:space="preserve"> </v>
      </c>
      <c r="I14" s="523" t="str">
        <f>IF($E14=0," ",('t12'!D14)/$E14)</f>
        <v xml:space="preserve"> </v>
      </c>
      <c r="J14" s="523" t="str">
        <f>IF($E14=0," ",'t12'!E14/$E14)</f>
        <v xml:space="preserve"> </v>
      </c>
      <c r="K14" s="523" t="str">
        <f>IF($E14=0," ",'t12'!F14/$E14)</f>
        <v xml:space="preserve"> </v>
      </c>
      <c r="L14" s="523" t="str">
        <f>IF($E14=0," ",'t12'!H14/$E14)</f>
        <v xml:space="preserve"> </v>
      </c>
      <c r="M14" s="524">
        <f t="shared" si="0"/>
        <v>0</v>
      </c>
      <c r="N14" s="525" t="str">
        <f>IF($E14=0," ",'t12'!I14/$E14)</f>
        <v xml:space="preserve"> </v>
      </c>
      <c r="O14" s="525" t="str">
        <f>IF($E14=0," ",'t12'!J14/$E14)</f>
        <v xml:space="preserve"> </v>
      </c>
      <c r="P14" s="523" t="str">
        <f>IF($E14=0," ",'t13'!U14/$E14)</f>
        <v xml:space="preserve"> </v>
      </c>
      <c r="Q14" s="523" t="str">
        <f>IF($E14=0," ",SUM('t13'!C14:J14)/$E14)</f>
        <v xml:space="preserve"> </v>
      </c>
      <c r="R14" s="523" t="str">
        <f>IF($E14=0," ",(SUM('t13'!K14:R14)+'t13'!T14)/$E14)</f>
        <v xml:space="preserve"> </v>
      </c>
      <c r="S14" s="524">
        <f t="shared" si="1"/>
        <v>0</v>
      </c>
      <c r="T14" s="525" t="str">
        <f>IF($E14=0," ",'t13'!S14/$E14)</f>
        <v xml:space="preserve"> </v>
      </c>
    </row>
    <row r="15" spans="1:24" x14ac:dyDescent="0.2">
      <c r="A15" s="118" t="str">
        <f>'t1'!A15</f>
        <v>PROF.STI LEGALI LIV. II DIFF.</v>
      </c>
      <c r="B15" s="92" t="str">
        <f>'t1'!B15</f>
        <v>0D0473</v>
      </c>
      <c r="C15" s="521">
        <f>'t1'!K15+'t1'!L15</f>
        <v>0</v>
      </c>
      <c r="D15" s="521">
        <f>('t1'!K15+'t1'!L15)-SUM('t3'!C15:F15,'t3'!I15:J15)+SUM('t3'!K15:N15)</f>
        <v>0</v>
      </c>
      <c r="E15" s="522">
        <f>'t12'!C15/12</f>
        <v>0</v>
      </c>
      <c r="F15" s="522" t="str">
        <f>IF($D15&gt;0,(('t11'!C17+'t11'!D17)/$D15)," ")</f>
        <v xml:space="preserve"> </v>
      </c>
      <c r="G15" s="522" t="str">
        <f>IF($D15&gt;0,(SUM('t11'!E17:N17)/$D15)," ")</f>
        <v xml:space="preserve"> </v>
      </c>
      <c r="H15" s="522" t="str">
        <f>IF($D15&gt;0,(SUM('t11'!O17:R17)/$D15)," ")</f>
        <v xml:space="preserve"> </v>
      </c>
      <c r="I15" s="523" t="str">
        <f>IF($E15=0," ",('t12'!D15)/$E15)</f>
        <v xml:space="preserve"> </v>
      </c>
      <c r="J15" s="523" t="str">
        <f>IF($E15=0," ",'t12'!E15/$E15)</f>
        <v xml:space="preserve"> </v>
      </c>
      <c r="K15" s="523" t="str">
        <f>IF($E15=0," ",'t12'!F15/$E15)</f>
        <v xml:space="preserve"> </v>
      </c>
      <c r="L15" s="523" t="str">
        <f>IF($E15=0," ",'t12'!H15/$E15)</f>
        <v xml:space="preserve"> </v>
      </c>
      <c r="M15" s="524">
        <f t="shared" si="0"/>
        <v>0</v>
      </c>
      <c r="N15" s="525" t="str">
        <f>IF($E15=0," ",'t12'!I15/$E15)</f>
        <v xml:space="preserve"> </v>
      </c>
      <c r="O15" s="525" t="str">
        <f>IF($E15=0," ",'t12'!J15/$E15)</f>
        <v xml:space="preserve"> </v>
      </c>
      <c r="P15" s="523" t="str">
        <f>IF($E15=0," ",'t13'!U15/$E15)</f>
        <v xml:space="preserve"> </v>
      </c>
      <c r="Q15" s="523" t="str">
        <f>IF($E15=0," ",SUM('t13'!C15:J15)/$E15)</f>
        <v xml:space="preserve"> </v>
      </c>
      <c r="R15" s="523" t="str">
        <f>IF($E15=0," ",(SUM('t13'!K15:R15)+'t13'!T15)/$E15)</f>
        <v xml:space="preserve"> </v>
      </c>
      <c r="S15" s="524">
        <f t="shared" si="1"/>
        <v>0</v>
      </c>
      <c r="T15" s="525" t="str">
        <f>IF($E15=0," ",'t13'!S15/$E15)</f>
        <v xml:space="preserve"> </v>
      </c>
    </row>
    <row r="16" spans="1:24" x14ac:dyDescent="0.2">
      <c r="A16" s="118" t="str">
        <f>'t1'!A16</f>
        <v>PROF.STI LEGALI LIV. I DIFF.</v>
      </c>
      <c r="B16" s="92" t="str">
        <f>'t1'!B16</f>
        <v>0D0472</v>
      </c>
      <c r="C16" s="521">
        <f>'t1'!K16+'t1'!L16</f>
        <v>0</v>
      </c>
      <c r="D16" s="521">
        <f>('t1'!K16+'t1'!L16)-SUM('t3'!C16:F16,'t3'!I16:J16)+SUM('t3'!K16:N16)</f>
        <v>0</v>
      </c>
      <c r="E16" s="522">
        <f>'t12'!C16/12</f>
        <v>0</v>
      </c>
      <c r="F16" s="522" t="str">
        <f>IF($D16&gt;0,(('t11'!C18+'t11'!D18)/$D16)," ")</f>
        <v xml:space="preserve"> </v>
      </c>
      <c r="G16" s="522" t="str">
        <f>IF($D16&gt;0,(SUM('t11'!E18:N18)/$D16)," ")</f>
        <v xml:space="preserve"> </v>
      </c>
      <c r="H16" s="522" t="str">
        <f>IF($D16&gt;0,(SUM('t11'!O18:R18)/$D16)," ")</f>
        <v xml:space="preserve"> </v>
      </c>
      <c r="I16" s="523" t="str">
        <f>IF($E16=0," ",('t12'!D16)/$E16)</f>
        <v xml:space="preserve"> </v>
      </c>
      <c r="J16" s="523" t="str">
        <f>IF($E16=0," ",'t12'!E16/$E16)</f>
        <v xml:space="preserve"> </v>
      </c>
      <c r="K16" s="523" t="str">
        <f>IF($E16=0," ",'t12'!F16/$E16)</f>
        <v xml:space="preserve"> </v>
      </c>
      <c r="L16" s="523" t="str">
        <f>IF($E16=0," ",'t12'!H16/$E16)</f>
        <v xml:space="preserve"> </v>
      </c>
      <c r="M16" s="524">
        <f t="shared" si="0"/>
        <v>0</v>
      </c>
      <c r="N16" s="525" t="str">
        <f>IF($E16=0," ",'t12'!I16/$E16)</f>
        <v xml:space="preserve"> </v>
      </c>
      <c r="O16" s="525" t="str">
        <f>IF($E16=0," ",'t12'!J16/$E16)</f>
        <v xml:space="preserve"> </v>
      </c>
      <c r="P16" s="523" t="str">
        <f>IF($E16=0," ",'t13'!U16/$E16)</f>
        <v xml:space="preserve"> </v>
      </c>
      <c r="Q16" s="523" t="str">
        <f>IF($E16=0," ",SUM('t13'!C16:J16)/$E16)</f>
        <v xml:space="preserve"> </v>
      </c>
      <c r="R16" s="523" t="str">
        <f>IF($E16=0," ",(SUM('t13'!K16:R16)+'t13'!T16)/$E16)</f>
        <v xml:space="preserve"> </v>
      </c>
      <c r="S16" s="524">
        <f t="shared" si="1"/>
        <v>0</v>
      </c>
      <c r="T16" s="525" t="str">
        <f>IF($E16=0," ",'t13'!S16/$E16)</f>
        <v xml:space="preserve"> </v>
      </c>
    </row>
    <row r="17" spans="1:25" s="95" customFormat="1" x14ac:dyDescent="0.2">
      <c r="A17" s="118" t="str">
        <f>'t1'!A17</f>
        <v>PROF.STI LEGALI</v>
      </c>
      <c r="B17" s="92" t="str">
        <f>'t1'!B17</f>
        <v>0D0084</v>
      </c>
      <c r="C17" s="521">
        <f>'t1'!K17+'t1'!L17</f>
        <v>0</v>
      </c>
      <c r="D17" s="521">
        <f>('t1'!K17+'t1'!L17)-SUM('t3'!C17:F17,'t3'!I17:J17)+SUM('t3'!K17:N17)</f>
        <v>0</v>
      </c>
      <c r="E17" s="522">
        <f>'t12'!C17/12</f>
        <v>0</v>
      </c>
      <c r="F17" s="522" t="str">
        <f>IF($D17&gt;0,(('t11'!C19+'t11'!D19)/$D17)," ")</f>
        <v xml:space="preserve"> </v>
      </c>
      <c r="G17" s="522" t="str">
        <f>IF($D17&gt;0,(SUM('t11'!E19:N19)/$D17)," ")</f>
        <v xml:space="preserve"> </v>
      </c>
      <c r="H17" s="522" t="str">
        <f>IF($D17&gt;0,(SUM('t11'!O19:R19)/$D17)," ")</f>
        <v xml:space="preserve"> </v>
      </c>
      <c r="I17" s="523" t="str">
        <f>IF($E17=0," ",('t12'!D17)/$E17)</f>
        <v xml:space="preserve"> </v>
      </c>
      <c r="J17" s="523" t="str">
        <f>IF($E17=0," ",'t12'!E17/$E17)</f>
        <v xml:space="preserve"> </v>
      </c>
      <c r="K17" s="523" t="str">
        <f>IF($E17=0," ",'t12'!F17/$E17)</f>
        <v xml:space="preserve"> </v>
      </c>
      <c r="L17" s="523" t="str">
        <f>IF($E17=0," ",'t12'!H17/$E17)</f>
        <v xml:space="preserve"> </v>
      </c>
      <c r="M17" s="524">
        <f t="shared" si="0"/>
        <v>0</v>
      </c>
      <c r="N17" s="525" t="str">
        <f>IF($E17=0," ",'t12'!I17/$E17)</f>
        <v xml:space="preserve"> </v>
      </c>
      <c r="O17" s="525" t="str">
        <f>IF($E17=0," ",'t12'!J17/$E17)</f>
        <v xml:space="preserve"> </v>
      </c>
      <c r="P17" s="523" t="str">
        <f>IF($E17=0," ",'t13'!U17/$E17)</f>
        <v xml:space="preserve"> </v>
      </c>
      <c r="Q17" s="523" t="str">
        <f>IF($E17=0," ",SUM('t13'!C17:J17)/$E17)</f>
        <v xml:space="preserve"> </v>
      </c>
      <c r="R17" s="523" t="str">
        <f>IF($E17=0," ",(SUM('t13'!K17:R17)+'t13'!T17)/$E17)</f>
        <v xml:space="preserve"> </v>
      </c>
      <c r="S17" s="524">
        <f t="shared" si="1"/>
        <v>0</v>
      </c>
      <c r="T17" s="525" t="str">
        <f>IF($E17=0," ",'t13'!S17/$E17)</f>
        <v xml:space="preserve"> </v>
      </c>
      <c r="V17"/>
      <c r="W17"/>
      <c r="X17"/>
      <c r="Y17"/>
    </row>
    <row r="18" spans="1:25" s="95" customFormat="1" x14ac:dyDescent="0.2">
      <c r="A18" s="118" t="str">
        <f>'t1'!A18</f>
        <v>ALTRI PROF.STI LIV. II DIFF.</v>
      </c>
      <c r="B18" s="92" t="str">
        <f>'t1'!B18</f>
        <v>0D0481</v>
      </c>
      <c r="C18" s="521">
        <f>'t1'!K18+'t1'!L18</f>
        <v>0</v>
      </c>
      <c r="D18" s="521">
        <f>('t1'!K18+'t1'!L18)-SUM('t3'!C18:F18,'t3'!I18:J18)+SUM('t3'!K18:N18)</f>
        <v>0</v>
      </c>
      <c r="E18" s="522">
        <f>'t12'!C18/12</f>
        <v>0</v>
      </c>
      <c r="F18" s="522" t="str">
        <f>IF($D18&gt;0,(('t11'!C20+'t11'!D20)/$D18)," ")</f>
        <v xml:space="preserve"> </v>
      </c>
      <c r="G18" s="522" t="str">
        <f>IF($D18&gt;0,(SUM('t11'!E20:N20)/$D18)," ")</f>
        <v xml:space="preserve"> </v>
      </c>
      <c r="H18" s="522" t="str">
        <f>IF($D18&gt;0,(SUM('t11'!O20:R20)/$D18)," ")</f>
        <v xml:space="preserve"> </v>
      </c>
      <c r="I18" s="523" t="str">
        <f>IF($E18=0," ",('t12'!D18)/$E18)</f>
        <v xml:space="preserve"> </v>
      </c>
      <c r="J18" s="523" t="str">
        <f>IF($E18=0," ",'t12'!E18/$E18)</f>
        <v xml:space="preserve"> </v>
      </c>
      <c r="K18" s="523" t="str">
        <f>IF($E18=0," ",'t12'!F18/$E18)</f>
        <v xml:space="preserve"> </v>
      </c>
      <c r="L18" s="523" t="str">
        <f>IF($E18=0," ",'t12'!H18/$E18)</f>
        <v xml:space="preserve"> </v>
      </c>
      <c r="M18" s="524">
        <f t="shared" si="0"/>
        <v>0</v>
      </c>
      <c r="N18" s="525" t="str">
        <f>IF($E18=0," ",'t12'!I18/$E18)</f>
        <v xml:space="preserve"> </v>
      </c>
      <c r="O18" s="525" t="str">
        <f>IF($E18=0," ",'t12'!J18/$E18)</f>
        <v xml:space="preserve"> </v>
      </c>
      <c r="P18" s="523" t="str">
        <f>IF($E18=0," ",'t13'!U18/$E18)</f>
        <v xml:space="preserve"> </v>
      </c>
      <c r="Q18" s="523" t="str">
        <f>IF($E18=0," ",SUM('t13'!C18:J18)/$E18)</f>
        <v xml:space="preserve"> </v>
      </c>
      <c r="R18" s="523" t="str">
        <f>IF($E18=0," ",(SUM('t13'!K18:R18)+'t13'!T18)/$E18)</f>
        <v xml:space="preserve"> </v>
      </c>
      <c r="S18" s="524">
        <f t="shared" si="1"/>
        <v>0</v>
      </c>
      <c r="T18" s="525" t="str">
        <f>IF($E18=0," ",'t13'!S18/$E18)</f>
        <v xml:space="preserve"> </v>
      </c>
      <c r="V18"/>
      <c r="W18"/>
      <c r="X18"/>
      <c r="Y18"/>
    </row>
    <row r="19" spans="1:25" s="95" customFormat="1" x14ac:dyDescent="0.2">
      <c r="A19" s="118" t="str">
        <f>'t1'!A19</f>
        <v>ALTRI PROF.STI LIV. I DIFF.</v>
      </c>
      <c r="B19" s="92" t="str">
        <f>'t1'!B19</f>
        <v>0D0480</v>
      </c>
      <c r="C19" s="521">
        <f>'t1'!K19+'t1'!L19</f>
        <v>0</v>
      </c>
      <c r="D19" s="521">
        <f>('t1'!K19+'t1'!L19)-SUM('t3'!C19:F19,'t3'!I19:J19)+SUM('t3'!K19:N19)</f>
        <v>0</v>
      </c>
      <c r="E19" s="522">
        <f>'t12'!C19/12</f>
        <v>0</v>
      </c>
      <c r="F19" s="522" t="str">
        <f>IF($D19&gt;0,(('t11'!C21+'t11'!D21)/$D19)," ")</f>
        <v xml:space="preserve"> </v>
      </c>
      <c r="G19" s="522" t="str">
        <f>IF($D19&gt;0,(SUM('t11'!E21:N21)/$D19)," ")</f>
        <v xml:space="preserve"> </v>
      </c>
      <c r="H19" s="522" t="str">
        <f>IF($D19&gt;0,(SUM('t11'!O21:R21)/$D19)," ")</f>
        <v xml:space="preserve"> </v>
      </c>
      <c r="I19" s="523" t="str">
        <f>IF($E19=0," ",('t12'!D19)/$E19)</f>
        <v xml:space="preserve"> </v>
      </c>
      <c r="J19" s="523" t="str">
        <f>IF($E19=0," ",'t12'!E19/$E19)</f>
        <v xml:space="preserve"> </v>
      </c>
      <c r="K19" s="523" t="str">
        <f>IF($E19=0," ",'t12'!F19/$E19)</f>
        <v xml:space="preserve"> </v>
      </c>
      <c r="L19" s="523" t="str">
        <f>IF($E19=0," ",'t12'!H19/$E19)</f>
        <v xml:space="preserve"> </v>
      </c>
      <c r="M19" s="524">
        <f t="shared" si="0"/>
        <v>0</v>
      </c>
      <c r="N19" s="525" t="str">
        <f>IF($E19=0," ",'t12'!I19/$E19)</f>
        <v xml:space="preserve"> </v>
      </c>
      <c r="O19" s="525" t="str">
        <f>IF($E19=0," ",'t12'!J19/$E19)</f>
        <v xml:space="preserve"> </v>
      </c>
      <c r="P19" s="523" t="str">
        <f>IF($E19=0," ",'t13'!U19/$E19)</f>
        <v xml:space="preserve"> </v>
      </c>
      <c r="Q19" s="523" t="str">
        <f>IF($E19=0," ",SUM('t13'!C19:J19)/$E19)</f>
        <v xml:space="preserve"> </v>
      </c>
      <c r="R19" s="523" t="str">
        <f>IF($E19=0," ",(SUM('t13'!K19:R19)+'t13'!T19)/$E19)</f>
        <v xml:space="preserve"> </v>
      </c>
      <c r="S19" s="524">
        <f t="shared" si="1"/>
        <v>0</v>
      </c>
      <c r="T19" s="525" t="str">
        <f>IF($E19=0," ",'t13'!S19/$E19)</f>
        <v xml:space="preserve"> </v>
      </c>
      <c r="V19"/>
      <c r="W19"/>
      <c r="X19"/>
      <c r="Y19"/>
    </row>
    <row r="20" spans="1:25" s="95" customFormat="1" x14ac:dyDescent="0.2">
      <c r="A20" s="118" t="str">
        <f>'t1'!A20</f>
        <v>ALTRI PROF.STI</v>
      </c>
      <c r="B20" s="92" t="str">
        <f>'t1'!B20</f>
        <v>0D0075</v>
      </c>
      <c r="C20" s="521">
        <f>'t1'!K20+'t1'!L20</f>
        <v>0</v>
      </c>
      <c r="D20" s="521">
        <f>('t1'!K20+'t1'!L20)-SUM('t3'!C20:F20,'t3'!I20:J20)+SUM('t3'!K20:N20)</f>
        <v>0</v>
      </c>
      <c r="E20" s="522">
        <f>'t12'!C20/12</f>
        <v>0</v>
      </c>
      <c r="F20" s="522" t="str">
        <f>IF($D20&gt;0,(('t11'!C22+'t11'!D22)/$D20)," ")</f>
        <v xml:space="preserve"> </v>
      </c>
      <c r="G20" s="522" t="str">
        <f>IF($D20&gt;0,(SUM('t11'!E22:N22)/$D20)," ")</f>
        <v xml:space="preserve"> </v>
      </c>
      <c r="H20" s="522" t="str">
        <f>IF($D20&gt;0,(SUM('t11'!O22:R22)/$D20)," ")</f>
        <v xml:space="preserve"> </v>
      </c>
      <c r="I20" s="523" t="str">
        <f>IF($E20=0," ",('t12'!D20)/$E20)</f>
        <v xml:space="preserve"> </v>
      </c>
      <c r="J20" s="523" t="str">
        <f>IF($E20=0," ",'t12'!E20/$E20)</f>
        <v xml:space="preserve"> </v>
      </c>
      <c r="K20" s="523" t="str">
        <f>IF($E20=0," ",'t12'!F20/$E20)</f>
        <v xml:space="preserve"> </v>
      </c>
      <c r="L20" s="523" t="str">
        <f>IF($E20=0," ",'t12'!H20/$E20)</f>
        <v xml:space="preserve"> </v>
      </c>
      <c r="M20" s="524">
        <f t="shared" si="0"/>
        <v>0</v>
      </c>
      <c r="N20" s="525" t="str">
        <f>IF($E20=0," ",'t12'!I20/$E20)</f>
        <v xml:space="preserve"> </v>
      </c>
      <c r="O20" s="525" t="str">
        <f>IF($E20=0," ",'t12'!J20/$E20)</f>
        <v xml:space="preserve"> </v>
      </c>
      <c r="P20" s="523" t="str">
        <f>IF($E20=0," ",'t13'!U20/$E20)</f>
        <v xml:space="preserve"> </v>
      </c>
      <c r="Q20" s="523" t="str">
        <f>IF($E20=0," ",SUM('t13'!C20:J20)/$E20)</f>
        <v xml:space="preserve"> </v>
      </c>
      <c r="R20" s="523" t="str">
        <f>IF($E20=0," ",(SUM('t13'!K20:R20)+'t13'!T20)/$E20)</f>
        <v xml:space="preserve"> </v>
      </c>
      <c r="S20" s="524">
        <f t="shared" si="1"/>
        <v>0</v>
      </c>
      <c r="T20" s="525" t="str">
        <f>IF($E20=0," ",'t13'!S20/$E20)</f>
        <v xml:space="preserve"> </v>
      </c>
      <c r="V20"/>
      <c r="W20"/>
      <c r="X20"/>
      <c r="Y20"/>
    </row>
    <row r="21" spans="1:25" s="95" customFormat="1" x14ac:dyDescent="0.2">
      <c r="A21" s="118" t="str">
        <f>'t1'!A21</f>
        <v>ELEVATE PROFESSIONALITA'</v>
      </c>
      <c r="B21" s="92" t="str">
        <f>'t1'!B21</f>
        <v>0EP981</v>
      </c>
      <c r="C21" s="521">
        <f>'t1'!K21+'t1'!L21</f>
        <v>0</v>
      </c>
      <c r="D21" s="521">
        <f>('t1'!K21+'t1'!L21)-SUM('t3'!C21:F21,'t3'!I21:J21)+SUM('t3'!K21:N21)</f>
        <v>0</v>
      </c>
      <c r="E21" s="522">
        <f>'t12'!C21/12</f>
        <v>0</v>
      </c>
      <c r="F21" s="522" t="str">
        <f>IF($D21&gt;0,(('t11'!C23+'t11'!D23)/$D21)," ")</f>
        <v xml:space="preserve"> </v>
      </c>
      <c r="G21" s="522" t="str">
        <f>IF($D21&gt;0,(SUM('t11'!E23:N23)/$D21)," ")</f>
        <v xml:space="preserve"> </v>
      </c>
      <c r="H21" s="522" t="str">
        <f>IF($D21&gt;0,(SUM('t11'!O23:R23)/$D21)," ")</f>
        <v xml:space="preserve"> </v>
      </c>
      <c r="I21" s="523" t="str">
        <f>IF($E21=0," ",('t12'!D21)/$E21)</f>
        <v xml:space="preserve"> </v>
      </c>
      <c r="J21" s="523" t="str">
        <f>IF($E21=0," ",'t12'!E21/$E21)</f>
        <v xml:space="preserve"> </v>
      </c>
      <c r="K21" s="523" t="str">
        <f>IF($E21=0," ",'t12'!F21/$E21)</f>
        <v xml:space="preserve"> </v>
      </c>
      <c r="L21" s="523" t="str">
        <f>IF($E21=0," ",'t12'!H21/$E21)</f>
        <v xml:space="preserve"> </v>
      </c>
      <c r="M21" s="524">
        <f>SUM(I21:L21)</f>
        <v>0</v>
      </c>
      <c r="N21" s="525" t="str">
        <f>IF($E21=0," ",'t12'!I21/$E21)</f>
        <v xml:space="preserve"> </v>
      </c>
      <c r="O21" s="525" t="str">
        <f>IF($E21=0," ",'t12'!J21/$E21)</f>
        <v xml:space="preserve"> </v>
      </c>
      <c r="P21" s="523" t="str">
        <f>IF($E21=0," ",'t13'!U21/$E21)</f>
        <v xml:space="preserve"> </v>
      </c>
      <c r="Q21" s="523" t="str">
        <f>IF($E21=0," ",SUM('t13'!C21:J21)/$E21)</f>
        <v xml:space="preserve"> </v>
      </c>
      <c r="R21" s="523" t="str">
        <f>IF($E21=0," ",(SUM('t13'!K21:R21)+'t13'!T21)/$E21)</f>
        <v xml:space="preserve"> </v>
      </c>
      <c r="S21" s="524">
        <f>SUM(P21:R21)</f>
        <v>0</v>
      </c>
      <c r="T21" s="525" t="str">
        <f>IF($E21=0," ",'t13'!S21/$E21)</f>
        <v xml:space="preserve"> </v>
      </c>
      <c r="V21"/>
      <c r="W21"/>
      <c r="X21"/>
      <c r="Y21"/>
    </row>
    <row r="22" spans="1:25" s="95" customFormat="1" x14ac:dyDescent="0.2">
      <c r="A22" s="118" t="str">
        <f>'t1'!A22</f>
        <v>FUNZIONARI</v>
      </c>
      <c r="B22" s="92" t="str">
        <f>'t1'!B22</f>
        <v>0FZ000</v>
      </c>
      <c r="C22" s="521">
        <f>'t1'!K22+'t1'!L22</f>
        <v>0</v>
      </c>
      <c r="D22" s="521">
        <f>('t1'!K22+'t1'!L22)-SUM('t3'!C22:F22,'t3'!I22:J22)+SUM('t3'!K22:N22)</f>
        <v>0</v>
      </c>
      <c r="E22" s="522">
        <f>'t12'!C22/12</f>
        <v>0</v>
      </c>
      <c r="F22" s="522" t="str">
        <f>IF($D22&gt;0,(('t11'!C24+'t11'!D24)/$D22)," ")</f>
        <v xml:space="preserve"> </v>
      </c>
      <c r="G22" s="522" t="str">
        <f>IF($D22&gt;0,(SUM('t11'!E24:N24)/$D22)," ")</f>
        <v xml:space="preserve"> </v>
      </c>
      <c r="H22" s="522" t="str">
        <f>IF($D22&gt;0,(SUM('t11'!O24:R24)/$D22)," ")</f>
        <v xml:space="preserve"> </v>
      </c>
      <c r="I22" s="523" t="str">
        <f>IF($E22=0," ",('t12'!D22)/$E22)</f>
        <v xml:space="preserve"> </v>
      </c>
      <c r="J22" s="523" t="str">
        <f>IF($E22=0," ",'t12'!E22/$E22)</f>
        <v xml:space="preserve"> </v>
      </c>
      <c r="K22" s="523" t="str">
        <f>IF($E22=0," ",'t12'!F22/$E22)</f>
        <v xml:space="preserve"> </v>
      </c>
      <c r="L22" s="523" t="str">
        <f>IF($E22=0," ",'t12'!H22/$E22)</f>
        <v xml:space="preserve"> </v>
      </c>
      <c r="M22" s="524">
        <f t="shared" ref="M22:M25" si="2">SUM(I22:L22)</f>
        <v>0</v>
      </c>
      <c r="N22" s="525" t="str">
        <f>IF($E22=0," ",'t12'!I22/$E22)</f>
        <v xml:space="preserve"> </v>
      </c>
      <c r="O22" s="525" t="str">
        <f>IF($E22=0," ",'t12'!J22/$E22)</f>
        <v xml:space="preserve"> </v>
      </c>
      <c r="P22" s="523" t="str">
        <f>IF($E22=0," ",'t13'!U22/$E22)</f>
        <v xml:space="preserve"> </v>
      </c>
      <c r="Q22" s="523" t="str">
        <f>IF($E22=0," ",SUM('t13'!C22:J22)/$E22)</f>
        <v xml:space="preserve"> </v>
      </c>
      <c r="R22" s="523" t="str">
        <f>IF($E22=0," ",(SUM('t13'!K22:R22)+'t13'!T22)/$E22)</f>
        <v xml:space="preserve"> </v>
      </c>
      <c r="S22" s="524">
        <f t="shared" ref="S22:S25" si="3">SUM(P22:R22)</f>
        <v>0</v>
      </c>
      <c r="T22" s="525" t="str">
        <f>IF($E22=0," ",'t13'!S22/$E22)</f>
        <v xml:space="preserve"> </v>
      </c>
      <c r="V22"/>
      <c r="W22"/>
      <c r="X22"/>
      <c r="Y22"/>
    </row>
    <row r="23" spans="1:25" s="95" customFormat="1" x14ac:dyDescent="0.2">
      <c r="A23" s="118" t="str">
        <f>'t1'!A23</f>
        <v>ASSISTENTI</v>
      </c>
      <c r="B23" s="92" t="str">
        <f>'t1'!B23</f>
        <v>0AS000</v>
      </c>
      <c r="C23" s="521">
        <f>'t1'!K23+'t1'!L23</f>
        <v>0</v>
      </c>
      <c r="D23" s="521">
        <f>('t1'!K23+'t1'!L23)-SUM('t3'!C23:F23,'t3'!I23:J23)+SUM('t3'!K23:N23)</f>
        <v>0</v>
      </c>
      <c r="E23" s="522">
        <f>'t12'!C23/12</f>
        <v>0</v>
      </c>
      <c r="F23" s="522" t="str">
        <f>IF($D23&gt;0,(('t11'!C25+'t11'!D25)/$D23)," ")</f>
        <v xml:space="preserve"> </v>
      </c>
      <c r="G23" s="522" t="str">
        <f>IF($D23&gt;0,(SUM('t11'!E25:N25)/$D23)," ")</f>
        <v xml:space="preserve"> </v>
      </c>
      <c r="H23" s="522" t="str">
        <f>IF($D23&gt;0,(SUM('t11'!O25:R25)/$D23)," ")</f>
        <v xml:space="preserve"> </v>
      </c>
      <c r="I23" s="523" t="str">
        <f>IF($E23=0," ",('t12'!D23)/$E23)</f>
        <v xml:space="preserve"> </v>
      </c>
      <c r="J23" s="523" t="str">
        <f>IF($E23=0," ",'t12'!E23/$E23)</f>
        <v xml:space="preserve"> </v>
      </c>
      <c r="K23" s="523" t="str">
        <f>IF($E23=0," ",'t12'!F23/$E23)</f>
        <v xml:space="preserve"> </v>
      </c>
      <c r="L23" s="523" t="str">
        <f>IF($E23=0," ",'t12'!H23/$E23)</f>
        <v xml:space="preserve"> </v>
      </c>
      <c r="M23" s="524">
        <f t="shared" si="2"/>
        <v>0</v>
      </c>
      <c r="N23" s="525" t="str">
        <f>IF($E23=0," ",'t12'!I23/$E23)</f>
        <v xml:space="preserve"> </v>
      </c>
      <c r="O23" s="525" t="str">
        <f>IF($E23=0," ",'t12'!J23/$E23)</f>
        <v xml:space="preserve"> </v>
      </c>
      <c r="P23" s="523" t="str">
        <f>IF($E23=0," ",'t13'!U23/$E23)</f>
        <v xml:space="preserve"> </v>
      </c>
      <c r="Q23" s="523" t="str">
        <f>IF($E23=0," ",SUM('t13'!C23:J23)/$E23)</f>
        <v xml:space="preserve"> </v>
      </c>
      <c r="R23" s="523" t="str">
        <f>IF($E23=0," ",(SUM('t13'!K23:R23)+'t13'!T23)/$E23)</f>
        <v xml:space="preserve"> </v>
      </c>
      <c r="S23" s="524">
        <f t="shared" si="3"/>
        <v>0</v>
      </c>
      <c r="T23" s="525" t="str">
        <f>IF($E23=0," ",'t13'!S23/$E23)</f>
        <v xml:space="preserve"> </v>
      </c>
      <c r="V23"/>
      <c r="W23"/>
      <c r="X23"/>
      <c r="Y23"/>
    </row>
    <row r="24" spans="1:25" s="95" customFormat="1" x14ac:dyDescent="0.2">
      <c r="A24" s="118" t="str">
        <f>'t1'!A24</f>
        <v>OPERATORI</v>
      </c>
      <c r="B24" s="92" t="str">
        <f>'t1'!B24</f>
        <v>0OP000</v>
      </c>
      <c r="C24" s="521">
        <f>'t1'!K24+'t1'!L24</f>
        <v>0</v>
      </c>
      <c r="D24" s="521">
        <f>('t1'!K24+'t1'!L24)-SUM('t3'!C24:F24,'t3'!I24:J24)+SUM('t3'!K24:N24)</f>
        <v>0</v>
      </c>
      <c r="E24" s="522">
        <f>'t12'!C24/12</f>
        <v>0</v>
      </c>
      <c r="F24" s="522" t="str">
        <f>IF($D24&gt;0,(('t11'!C26+'t11'!D26)/$D24)," ")</f>
        <v xml:space="preserve"> </v>
      </c>
      <c r="G24" s="522" t="str">
        <f>IF($D24&gt;0,(SUM('t11'!E26:N26)/$D24)," ")</f>
        <v xml:space="preserve"> </v>
      </c>
      <c r="H24" s="522" t="str">
        <f>IF($D24&gt;0,(SUM('t11'!O26:R26)/$D24)," ")</f>
        <v xml:space="preserve"> </v>
      </c>
      <c r="I24" s="523" t="str">
        <f>IF($E24=0," ",('t12'!D24)/$E24)</f>
        <v xml:space="preserve"> </v>
      </c>
      <c r="J24" s="523" t="str">
        <f>IF($E24=0," ",'t12'!E24/$E24)</f>
        <v xml:space="preserve"> </v>
      </c>
      <c r="K24" s="523" t="str">
        <f>IF($E24=0," ",'t12'!F24/$E24)</f>
        <v xml:space="preserve"> </v>
      </c>
      <c r="L24" s="523" t="str">
        <f>IF($E24=0," ",'t12'!H24/$E24)</f>
        <v xml:space="preserve"> </v>
      </c>
      <c r="M24" s="524">
        <f t="shared" si="2"/>
        <v>0</v>
      </c>
      <c r="N24" s="525" t="str">
        <f>IF($E24=0," ",'t12'!I24/$E24)</f>
        <v xml:space="preserve"> </v>
      </c>
      <c r="O24" s="525" t="str">
        <f>IF($E24=0," ",'t12'!J24/$E24)</f>
        <v xml:space="preserve"> </v>
      </c>
      <c r="P24" s="523" t="str">
        <f>IF($E24=0," ",'t13'!U24/$E24)</f>
        <v xml:space="preserve"> </v>
      </c>
      <c r="Q24" s="523" t="str">
        <f>IF($E24=0," ",SUM('t13'!C24:J24)/$E24)</f>
        <v xml:space="preserve"> </v>
      </c>
      <c r="R24" s="523" t="str">
        <f>IF($E24=0," ",(SUM('t13'!K24:R24)+'t13'!T24)/$E24)</f>
        <v xml:space="preserve"> </v>
      </c>
      <c r="S24" s="524">
        <f t="shared" si="3"/>
        <v>0</v>
      </c>
      <c r="T24" s="525" t="str">
        <f>IF($E24=0," ",'t13'!S24/$E24)</f>
        <v xml:space="preserve"> </v>
      </c>
      <c r="V24"/>
      <c r="W24"/>
      <c r="X24"/>
      <c r="Y24"/>
    </row>
    <row r="25" spans="1:25" s="95" customFormat="1" x14ac:dyDescent="0.2">
      <c r="A25" s="118" t="str">
        <f>'t1'!A25</f>
        <v>CONTRATTISTI</v>
      </c>
      <c r="B25" s="92" t="str">
        <f>'t1'!B25</f>
        <v>000061</v>
      </c>
      <c r="C25" s="521">
        <f>'t1'!K25+'t1'!L25</f>
        <v>0</v>
      </c>
      <c r="D25" s="521">
        <f>('t1'!K25+'t1'!L25)-SUM('t3'!C25:F25,'t3'!I25:J25)+SUM('t3'!K25:N25)</f>
        <v>0</v>
      </c>
      <c r="E25" s="522">
        <f>'t12'!C25/12</f>
        <v>0</v>
      </c>
      <c r="F25" s="522" t="str">
        <f>IF($D25&gt;0,(('t11'!C27+'t11'!D27)/$D25)," ")</f>
        <v xml:space="preserve"> </v>
      </c>
      <c r="G25" s="522" t="str">
        <f>IF($D25&gt;0,(SUM('t11'!E27:N27)/$D25)," ")</f>
        <v xml:space="preserve"> </v>
      </c>
      <c r="H25" s="522" t="str">
        <f>IF($D25&gt;0,(SUM('t11'!O27:R27)/$D25)," ")</f>
        <v xml:space="preserve"> </v>
      </c>
      <c r="I25" s="523" t="str">
        <f>IF($E25=0," ",('t12'!D25)/$E25)</f>
        <v xml:space="preserve"> </v>
      </c>
      <c r="J25" s="523" t="str">
        <f>IF($E25=0," ",'t12'!E25/$E25)</f>
        <v xml:space="preserve"> </v>
      </c>
      <c r="K25" s="523" t="str">
        <f>IF($E25=0," ",'t12'!F25/$E25)</f>
        <v xml:space="preserve"> </v>
      </c>
      <c r="L25" s="523" t="str">
        <f>IF($E25=0," ",'t12'!H25/$E25)</f>
        <v xml:space="preserve"> </v>
      </c>
      <c r="M25" s="524">
        <f t="shared" si="2"/>
        <v>0</v>
      </c>
      <c r="N25" s="525" t="str">
        <f>IF($E25=0," ",'t12'!I25/$E25)</f>
        <v xml:space="preserve"> </v>
      </c>
      <c r="O25" s="525" t="str">
        <f>IF($E25=0," ",'t12'!J25/$E25)</f>
        <v xml:space="preserve"> </v>
      </c>
      <c r="P25" s="523" t="str">
        <f>IF($E25=0," ",'t13'!U25/$E25)</f>
        <v xml:space="preserve"> </v>
      </c>
      <c r="Q25" s="523" t="str">
        <f>IF($E25=0," ",SUM('t13'!C25:J25)/$E25)</f>
        <v xml:space="preserve"> </v>
      </c>
      <c r="R25" s="523" t="str">
        <f>IF($E25=0," ",(SUM('t13'!K25:R25)+'t13'!T25)/$E25)</f>
        <v xml:space="preserve"> </v>
      </c>
      <c r="S25" s="524">
        <f t="shared" si="3"/>
        <v>0</v>
      </c>
      <c r="T25" s="525" t="str">
        <f>IF($E25=0," ",'t13'!S25/$E25)</f>
        <v xml:space="preserve"> </v>
      </c>
      <c r="V25"/>
      <c r="W25"/>
      <c r="X25"/>
      <c r="Y25"/>
    </row>
    <row r="27" spans="1:25" x14ac:dyDescent="0.2">
      <c r="A27" s="3" t="str">
        <f>"(*)  Personale presente al 31/12/"&amp;'t1'!L1&amp;" di T1 - personale dell'amministrazione comandato/distaccato, fuori ruolo e in esonero di T3 + personale esterno comandato/distaccato e fuori ruolo di T3"</f>
        <v>(*)  Personale presente al 31/12/2023 di T1 - personale dell'amministrazione comandato/distaccato, fuori ruolo e in esonero di T3 + personale esterno comandato/distaccato e fuori ruolo di T3</v>
      </c>
    </row>
    <row r="28" spans="1:25" x14ac:dyDescent="0.2">
      <c r="A28" s="3" t="s">
        <v>405</v>
      </c>
    </row>
  </sheetData>
  <sheetProtection algorithmName="SHA-512" hashValue="PNrj6MrhdBUfTJAipgrHxYLv7Gg2r9mcSi7aQuI2gUWfYk/kBEEjVSx1iY6lyPSfCXcDqiRxVen8XwvJaVOtNQ==" saltValue="qLd6mT70dW3giz5qsSEV4Q==" spinCount="100000" sheet="1" formatColumns="0" selectLockedCells="1" selectUnlockedCells="1"/>
  <mergeCells count="4">
    <mergeCell ref="A1:I1"/>
    <mergeCell ref="F4:H4"/>
    <mergeCell ref="I4:O4"/>
    <mergeCell ref="P4:T4"/>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80" orientation="landscape" horizontalDpi="0" verticalDpi="0" r:id="rId1"/>
  <headerFooter alignWithMargins="0"/>
  <colBreaks count="1" manualBreakCount="1">
    <brk id="15"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Foglio22"/>
  <dimension ref="A1:T49"/>
  <sheetViews>
    <sheetView showGridLines="0" workbookViewId="0">
      <pane ySplit="5" topLeftCell="A8" activePane="bottomLeft" state="frozen"/>
      <selection activeCell="A2" sqref="A2"/>
      <selection pane="bottomLeft" activeCell="G26" sqref="G26"/>
    </sheetView>
  </sheetViews>
  <sheetFormatPr defaultColWidth="9.28515625" defaultRowHeight="10.199999999999999" x14ac:dyDescent="0.2"/>
  <cols>
    <col min="1" max="1" width="37.7109375" style="3" customWidth="1"/>
    <col min="2" max="2" width="10" style="2" bestFit="1" customWidth="1"/>
    <col min="3" max="7" width="13.28515625" style="2" customWidth="1"/>
    <col min="8" max="8" width="15" style="2" customWidth="1"/>
    <col min="9" max="10" width="13.28515625" style="2" customWidth="1"/>
    <col min="11" max="16384" width="9.28515625" style="3"/>
  </cols>
  <sheetData>
    <row r="1" spans="1:13" ht="43.5" customHeight="1" x14ac:dyDescent="0.2">
      <c r="A1" s="1463" t="str">
        <f>'t1'!A1</f>
        <v>ENTI PUBBLICI NON ECONOMICI - anno 2023</v>
      </c>
      <c r="B1" s="1463"/>
      <c r="C1" s="1463"/>
      <c r="D1" s="1463"/>
      <c r="E1" s="1463"/>
      <c r="F1" s="1463"/>
      <c r="G1" s="1463"/>
      <c r="H1" s="1463"/>
      <c r="I1" s="289"/>
      <c r="J1" s="286"/>
      <c r="M1"/>
    </row>
    <row r="2" spans="1:13" ht="21" customHeight="1" x14ac:dyDescent="0.2">
      <c r="B2" s="3"/>
      <c r="C2" s="3"/>
      <c r="D2" s="1547"/>
      <c r="E2" s="1547"/>
      <c r="F2" s="1547"/>
      <c r="G2" s="1547"/>
      <c r="H2" s="1547"/>
      <c r="I2" s="1547"/>
      <c r="J2" s="1547"/>
      <c r="M2"/>
    </row>
    <row r="3" spans="1:13" s="173" customFormat="1" ht="21" customHeight="1" x14ac:dyDescent="0.25">
      <c r="A3" s="173" t="str">
        <f>"Tavola di coerenza tra presenti al 31.12."&amp;'t1'!L1&amp;" e presenti al 31.12."&amp;'t1'!L1-1&amp;" (Squadratura 1)"</f>
        <v>Tavola di coerenza tra presenti al 31.12.2023 e presenti al 31.12.2022 (Squadratura 1)</v>
      </c>
      <c r="B3" s="288"/>
    </row>
    <row r="4" spans="1:13" ht="36.75" customHeight="1" x14ac:dyDescent="0.2">
      <c r="A4" s="156" t="s">
        <v>181</v>
      </c>
      <c r="B4" s="157" t="s">
        <v>180</v>
      </c>
      <c r="C4" s="157" t="str">
        <f>"Presenti 31.12."&amp;'t1'!L1-1&amp;" (Tab 1)"</f>
        <v>Presenti 31.12.2022 (Tab 1)</v>
      </c>
      <c r="D4" s="157" t="s">
        <v>173</v>
      </c>
      <c r="E4" s="157" t="s">
        <v>228</v>
      </c>
      <c r="F4" s="157" t="s">
        <v>175</v>
      </c>
      <c r="G4" s="157" t="s">
        <v>174</v>
      </c>
      <c r="H4" s="157" t="str">
        <f>"Presenti 31.12."&amp;'t1'!L1&amp;" (Calcolati)"</f>
        <v>Presenti 31.12.2023 (Calcolati)</v>
      </c>
      <c r="I4" s="157" t="str">
        <f>"Presenti 31.12."&amp;'t1'!L1&amp;" (Tab 1)"</f>
        <v>Presenti 31.12.2023 (Tab 1)</v>
      </c>
      <c r="J4" s="157" t="s">
        <v>190</v>
      </c>
    </row>
    <row r="5" spans="1:13" x14ac:dyDescent="0.2">
      <c r="A5" s="602"/>
      <c r="B5" s="157"/>
      <c r="C5" s="162" t="s">
        <v>182</v>
      </c>
      <c r="D5" s="162" t="s">
        <v>183</v>
      </c>
      <c r="E5" s="162" t="s">
        <v>184</v>
      </c>
      <c r="F5" s="162" t="s">
        <v>185</v>
      </c>
      <c r="G5" s="162" t="s">
        <v>186</v>
      </c>
      <c r="H5" s="162" t="s">
        <v>187</v>
      </c>
      <c r="I5" s="162" t="s">
        <v>188</v>
      </c>
      <c r="J5" s="162" t="s">
        <v>189</v>
      </c>
    </row>
    <row r="6" spans="1:13" ht="14.1" customHeight="1" x14ac:dyDescent="0.2">
      <c r="A6" s="603" t="str">
        <f>'t1'!A6</f>
        <v>DIRETTORE GENERALE</v>
      </c>
      <c r="B6" s="163" t="str">
        <f>'t1'!B6</f>
        <v>0D0097</v>
      </c>
      <c r="C6" s="312">
        <f>'t1'!C6+'t1'!D6</f>
        <v>0</v>
      </c>
      <c r="D6" s="312">
        <f>'t5'!U7+'t5'!V7</f>
        <v>0</v>
      </c>
      <c r="E6" s="313">
        <f>'t6'!U7+'t6'!V7</f>
        <v>0</v>
      </c>
      <c r="F6" s="313">
        <f>'t4'!W15</f>
        <v>0</v>
      </c>
      <c r="G6" s="313">
        <f>'t4'!$C$35</f>
        <v>0</v>
      </c>
      <c r="H6" s="313">
        <f>C6-D6+E6-F6+G6</f>
        <v>0</v>
      </c>
      <c r="I6" s="313">
        <f>'t1'!K6+'t1'!L6</f>
        <v>0</v>
      </c>
      <c r="J6" s="92" t="str">
        <f t="shared" ref="J6:J20" si="0">IF(H6=I6,"OK","ERRORE")</f>
        <v>OK</v>
      </c>
    </row>
    <row r="7" spans="1:13" ht="14.1" customHeight="1" x14ac:dyDescent="0.2">
      <c r="A7" s="603" t="str">
        <f>'t1'!A7</f>
        <v>DIRIGENTE I FASCIA</v>
      </c>
      <c r="B7" s="163" t="str">
        <f>'t1'!B7</f>
        <v>0D0077</v>
      </c>
      <c r="C7" s="312">
        <f>'t1'!C7+'t1'!D7</f>
        <v>0</v>
      </c>
      <c r="D7" s="312">
        <f>'t5'!U8+'t5'!V8</f>
        <v>0</v>
      </c>
      <c r="E7" s="313">
        <f>'t6'!U8+'t6'!V8</f>
        <v>0</v>
      </c>
      <c r="F7" s="313">
        <f>'t4'!W16</f>
        <v>0</v>
      </c>
      <c r="G7" s="313">
        <f>'t4'!$D$35</f>
        <v>0</v>
      </c>
      <c r="H7" s="313">
        <f t="shared" ref="H7:H20" si="1">C7-D7+E7-F7+G7</f>
        <v>0</v>
      </c>
      <c r="I7" s="313">
        <f>'t1'!K7+'t1'!L7</f>
        <v>0</v>
      </c>
      <c r="J7" s="92" t="str">
        <f t="shared" si="0"/>
        <v>OK</v>
      </c>
    </row>
    <row r="8" spans="1:13" ht="14.1" customHeight="1" x14ac:dyDescent="0.2">
      <c r="A8" s="603" t="str">
        <f>'t1'!A8</f>
        <v>DIRIGENTE I FASCIA A TEMPO DETERM.</v>
      </c>
      <c r="B8" s="163" t="str">
        <f>'t1'!B8</f>
        <v>0D0078</v>
      </c>
      <c r="C8" s="312">
        <f>'t1'!C8+'t1'!D8</f>
        <v>0</v>
      </c>
      <c r="D8" s="312">
        <f>'t5'!U9+'t5'!V9</f>
        <v>0</v>
      </c>
      <c r="E8" s="313">
        <f>'t6'!U9+'t6'!V9</f>
        <v>0</v>
      </c>
      <c r="F8" s="313">
        <f>'t4'!W17</f>
        <v>0</v>
      </c>
      <c r="G8" s="313">
        <f>'t4'!$E$35</f>
        <v>0</v>
      </c>
      <c r="H8" s="313">
        <f t="shared" si="1"/>
        <v>0</v>
      </c>
      <c r="I8" s="313">
        <f>'t1'!K8+'t1'!L8</f>
        <v>0</v>
      </c>
      <c r="J8" s="92" t="str">
        <f t="shared" si="0"/>
        <v>OK</v>
      </c>
    </row>
    <row r="9" spans="1:13" ht="14.1" customHeight="1" x14ac:dyDescent="0.2">
      <c r="A9" s="603" t="str">
        <f>'t1'!A9</f>
        <v>DIRIGENTE II FASCIA</v>
      </c>
      <c r="B9" s="163" t="str">
        <f>'t1'!B9</f>
        <v>0D0079</v>
      </c>
      <c r="C9" s="312">
        <f>'t1'!C9+'t1'!D9</f>
        <v>0</v>
      </c>
      <c r="D9" s="312">
        <f>'t5'!U10+'t5'!V10</f>
        <v>0</v>
      </c>
      <c r="E9" s="313">
        <f>'t6'!U10+'t6'!V10</f>
        <v>0</v>
      </c>
      <c r="F9" s="313">
        <f>'t4'!W18</f>
        <v>0</v>
      </c>
      <c r="G9" s="313">
        <f>'t4'!$F$35</f>
        <v>0</v>
      </c>
      <c r="H9" s="313">
        <f t="shared" si="1"/>
        <v>0</v>
      </c>
      <c r="I9" s="313">
        <f>'t1'!K9+'t1'!L9</f>
        <v>0</v>
      </c>
      <c r="J9" s="92" t="str">
        <f t="shared" si="0"/>
        <v>OK</v>
      </c>
    </row>
    <row r="10" spans="1:13" ht="14.1" customHeight="1" x14ac:dyDescent="0.2">
      <c r="A10" s="603" t="str">
        <f>'t1'!A10</f>
        <v>DIRIGENTE II FASCIA A TEMPO DETERM.</v>
      </c>
      <c r="B10" s="163" t="str">
        <f>'t1'!B10</f>
        <v>0D0080</v>
      </c>
      <c r="C10" s="312">
        <f>'t1'!C10+'t1'!D10</f>
        <v>0</v>
      </c>
      <c r="D10" s="312">
        <f>'t5'!U11+'t5'!V11</f>
        <v>0</v>
      </c>
      <c r="E10" s="313">
        <f>'t6'!U11+'t6'!V11</f>
        <v>0</v>
      </c>
      <c r="F10" s="313">
        <f>'t4'!W19</f>
        <v>0</v>
      </c>
      <c r="G10" s="313">
        <f>'t4'!$G$35</f>
        <v>0</v>
      </c>
      <c r="H10" s="313">
        <f t="shared" si="1"/>
        <v>0</v>
      </c>
      <c r="I10" s="313">
        <f>'t1'!K10+'t1'!L10</f>
        <v>0</v>
      </c>
      <c r="J10" s="92" t="str">
        <f t="shared" si="0"/>
        <v>OK</v>
      </c>
    </row>
    <row r="11" spans="1:13" ht="14.1" customHeight="1" x14ac:dyDescent="0.2">
      <c r="A11" s="603" t="str">
        <f>'t1'!A11</f>
        <v>MEDICO II FASCIA T.P.</v>
      </c>
      <c r="B11" s="163" t="str">
        <f>'t1'!B11</f>
        <v>0D0584</v>
      </c>
      <c r="C11" s="312">
        <f>'t1'!C11+'t1'!D11</f>
        <v>0</v>
      </c>
      <c r="D11" s="312">
        <f>'t5'!U12+'t5'!V12</f>
        <v>0</v>
      </c>
      <c r="E11" s="313">
        <f>'t6'!U12+'t6'!V12</f>
        <v>0</v>
      </c>
      <c r="F11" s="313">
        <f>'t4'!W20</f>
        <v>0</v>
      </c>
      <c r="G11" s="313">
        <f>'t4'!$H$35</f>
        <v>0</v>
      </c>
      <c r="H11" s="313">
        <f t="shared" si="1"/>
        <v>0</v>
      </c>
      <c r="I11" s="313">
        <f>'t1'!K11+'t1'!L11</f>
        <v>0</v>
      </c>
      <c r="J11" s="92" t="str">
        <f t="shared" si="0"/>
        <v>OK</v>
      </c>
    </row>
    <row r="12" spans="1:13" ht="14.1" customHeight="1" x14ac:dyDescent="0.2">
      <c r="A12" s="603" t="str">
        <f>'t1'!A12</f>
        <v>MEDICO I FASCIA T.P.</v>
      </c>
      <c r="B12" s="163" t="str">
        <f>'t1'!B12</f>
        <v>0D0585</v>
      </c>
      <c r="C12" s="312">
        <f>'t1'!C12+'t1'!D12</f>
        <v>0</v>
      </c>
      <c r="D12" s="312">
        <f>'t5'!U13+'t5'!V13</f>
        <v>0</v>
      </c>
      <c r="E12" s="313">
        <f>'t6'!U13+'t6'!V13</f>
        <v>0</v>
      </c>
      <c r="F12" s="313">
        <f>'t4'!W21</f>
        <v>0</v>
      </c>
      <c r="G12" s="313">
        <f>'t4'!$I$35</f>
        <v>0</v>
      </c>
      <c r="H12" s="313">
        <f t="shared" si="1"/>
        <v>0</v>
      </c>
      <c r="I12" s="313">
        <f>'t1'!K12+'t1'!L12</f>
        <v>0</v>
      </c>
      <c r="J12" s="92" t="str">
        <f t="shared" si="0"/>
        <v>OK</v>
      </c>
    </row>
    <row r="13" spans="1:13" ht="14.1" customHeight="1" x14ac:dyDescent="0.2">
      <c r="A13" s="603" t="str">
        <f>'t1'!A13</f>
        <v>MEDICO II FASCIA T.D.</v>
      </c>
      <c r="B13" s="163" t="str">
        <f>'t1'!B13</f>
        <v>0D0586</v>
      </c>
      <c r="C13" s="312">
        <f>'t1'!C13+'t1'!D13</f>
        <v>0</v>
      </c>
      <c r="D13" s="312">
        <f>'t5'!U14+'t5'!V14</f>
        <v>0</v>
      </c>
      <c r="E13" s="313">
        <f>'t6'!U14+'t6'!V14</f>
        <v>0</v>
      </c>
      <c r="F13" s="313">
        <f>'t4'!W22</f>
        <v>0</v>
      </c>
      <c r="G13" s="313">
        <f>'t4'!$J$35</f>
        <v>0</v>
      </c>
      <c r="H13" s="313">
        <f t="shared" si="1"/>
        <v>0</v>
      </c>
      <c r="I13" s="313">
        <f>'t1'!K13+'t1'!L13</f>
        <v>0</v>
      </c>
      <c r="J13" s="92" t="str">
        <f t="shared" si="0"/>
        <v>OK</v>
      </c>
    </row>
    <row r="14" spans="1:13" ht="14.1" customHeight="1" x14ac:dyDescent="0.2">
      <c r="A14" s="603" t="str">
        <f>'t1'!A14</f>
        <v>MEDICO I FASCIA T.D.</v>
      </c>
      <c r="B14" s="163" t="str">
        <f>'t1'!B14</f>
        <v>0D0496</v>
      </c>
      <c r="C14" s="312">
        <f>'t1'!C14+'t1'!D14</f>
        <v>0</v>
      </c>
      <c r="D14" s="312">
        <f>'t5'!U15+'t5'!V15</f>
        <v>0</v>
      </c>
      <c r="E14" s="313">
        <f>'t6'!U15+'t6'!V15</f>
        <v>0</v>
      </c>
      <c r="F14" s="313">
        <f>'t4'!W23</f>
        <v>0</v>
      </c>
      <c r="G14" s="313">
        <f>'t4'!$K$35</f>
        <v>0</v>
      </c>
      <c r="H14" s="313">
        <f t="shared" si="1"/>
        <v>0</v>
      </c>
      <c r="I14" s="313">
        <f>'t1'!K14+'t1'!L14</f>
        <v>0</v>
      </c>
      <c r="J14" s="92" t="str">
        <f t="shared" si="0"/>
        <v>OK</v>
      </c>
    </row>
    <row r="15" spans="1:13" ht="14.1" customHeight="1" x14ac:dyDescent="0.2">
      <c r="A15" s="603" t="str">
        <f>'t1'!A15</f>
        <v>PROF.STI LEGALI LIV. II DIFF.</v>
      </c>
      <c r="B15" s="163" t="str">
        <f>'t1'!B15</f>
        <v>0D0473</v>
      </c>
      <c r="C15" s="312">
        <f>'t1'!C15+'t1'!D15</f>
        <v>0</v>
      </c>
      <c r="D15" s="312">
        <f>'t5'!U16+'t5'!V16</f>
        <v>0</v>
      </c>
      <c r="E15" s="313">
        <f>'t6'!U16+'t6'!V16</f>
        <v>0</v>
      </c>
      <c r="F15" s="313">
        <f>'t4'!W24</f>
        <v>0</v>
      </c>
      <c r="G15" s="313">
        <f>'t4'!$L$35</f>
        <v>0</v>
      </c>
      <c r="H15" s="313">
        <f t="shared" si="1"/>
        <v>0</v>
      </c>
      <c r="I15" s="313">
        <f>'t1'!K15+'t1'!L15</f>
        <v>0</v>
      </c>
      <c r="J15" s="92" t="str">
        <f t="shared" si="0"/>
        <v>OK</v>
      </c>
    </row>
    <row r="16" spans="1:13" ht="14.1" customHeight="1" x14ac:dyDescent="0.2">
      <c r="A16" s="603" t="str">
        <f>'t1'!A16</f>
        <v>PROF.STI LEGALI LIV. I DIFF.</v>
      </c>
      <c r="B16" s="163" t="str">
        <f>'t1'!B16</f>
        <v>0D0472</v>
      </c>
      <c r="C16" s="312">
        <f>'t1'!C16+'t1'!D16</f>
        <v>0</v>
      </c>
      <c r="D16" s="312">
        <f>'t5'!U17+'t5'!V17</f>
        <v>0</v>
      </c>
      <c r="E16" s="313">
        <f>'t6'!U17+'t6'!V17</f>
        <v>0</v>
      </c>
      <c r="F16" s="313">
        <f>'t4'!W25</f>
        <v>0</v>
      </c>
      <c r="G16" s="313">
        <f>'t4'!$M$35</f>
        <v>0</v>
      </c>
      <c r="H16" s="313">
        <f t="shared" si="1"/>
        <v>0</v>
      </c>
      <c r="I16" s="313">
        <f>'t1'!K16+'t1'!L16</f>
        <v>0</v>
      </c>
      <c r="J16" s="92" t="str">
        <f t="shared" si="0"/>
        <v>OK</v>
      </c>
    </row>
    <row r="17" spans="1:20" ht="14.1" customHeight="1" x14ac:dyDescent="0.2">
      <c r="A17" s="603" t="str">
        <f>'t1'!A17</f>
        <v>PROF.STI LEGALI</v>
      </c>
      <c r="B17" s="163" t="str">
        <f>'t1'!B17</f>
        <v>0D0084</v>
      </c>
      <c r="C17" s="312">
        <f>'t1'!C17+'t1'!D17</f>
        <v>0</v>
      </c>
      <c r="D17" s="312">
        <f>'t5'!U18+'t5'!V18</f>
        <v>0</v>
      </c>
      <c r="E17" s="313">
        <f>'t6'!U18+'t6'!V18</f>
        <v>0</v>
      </c>
      <c r="F17" s="313">
        <f>'t4'!W26</f>
        <v>0</v>
      </c>
      <c r="G17" s="313">
        <f>'t4'!$N$35</f>
        <v>0</v>
      </c>
      <c r="H17" s="313">
        <f t="shared" si="1"/>
        <v>0</v>
      </c>
      <c r="I17" s="313">
        <f>'t1'!K17+'t1'!L17</f>
        <v>0</v>
      </c>
      <c r="J17" s="92" t="str">
        <f t="shared" si="0"/>
        <v>OK</v>
      </c>
    </row>
    <row r="18" spans="1:20" ht="14.1" customHeight="1" x14ac:dyDescent="0.2">
      <c r="A18" s="603" t="str">
        <f>'t1'!A18</f>
        <v>ALTRI PROF.STI LIV. II DIFF.</v>
      </c>
      <c r="B18" s="163" t="str">
        <f>'t1'!B18</f>
        <v>0D0481</v>
      </c>
      <c r="C18" s="312">
        <f>'t1'!C18+'t1'!D18</f>
        <v>0</v>
      </c>
      <c r="D18" s="312">
        <f>'t5'!U19+'t5'!V19</f>
        <v>0</v>
      </c>
      <c r="E18" s="313">
        <f>'t6'!U19+'t6'!V19</f>
        <v>0</v>
      </c>
      <c r="F18" s="313">
        <f>'t4'!W27</f>
        <v>0</v>
      </c>
      <c r="G18" s="313">
        <f>'t4'!$O$35</f>
        <v>0</v>
      </c>
      <c r="H18" s="313">
        <f t="shared" si="1"/>
        <v>0</v>
      </c>
      <c r="I18" s="313">
        <f>'t1'!K18+'t1'!L18</f>
        <v>0</v>
      </c>
      <c r="J18" s="92" t="str">
        <f t="shared" si="0"/>
        <v>OK</v>
      </c>
    </row>
    <row r="19" spans="1:20" ht="14.1" customHeight="1" x14ac:dyDescent="0.2">
      <c r="A19" s="603" t="str">
        <f>'t1'!A19</f>
        <v>ALTRI PROF.STI LIV. I DIFF.</v>
      </c>
      <c r="B19" s="163" t="str">
        <f>'t1'!B19</f>
        <v>0D0480</v>
      </c>
      <c r="C19" s="312">
        <f>'t1'!C19+'t1'!D19</f>
        <v>0</v>
      </c>
      <c r="D19" s="312">
        <f>'t5'!U20+'t5'!V20</f>
        <v>0</v>
      </c>
      <c r="E19" s="313">
        <f>'t6'!U20+'t6'!V20</f>
        <v>0</v>
      </c>
      <c r="F19" s="313">
        <f>'t4'!W28</f>
        <v>0</v>
      </c>
      <c r="G19" s="313">
        <f>'t4'!$P$35</f>
        <v>0</v>
      </c>
      <c r="H19" s="313">
        <f t="shared" si="1"/>
        <v>0</v>
      </c>
      <c r="I19" s="313">
        <f>'t1'!K19+'t1'!L19</f>
        <v>0</v>
      </c>
      <c r="J19" s="92" t="str">
        <f t="shared" si="0"/>
        <v>OK</v>
      </c>
    </row>
    <row r="20" spans="1:20" ht="14.1" customHeight="1" x14ac:dyDescent="0.2">
      <c r="A20" s="603" t="str">
        <f>'t1'!A20</f>
        <v>ALTRI PROF.STI</v>
      </c>
      <c r="B20" s="163" t="str">
        <f>'t1'!B20</f>
        <v>0D0075</v>
      </c>
      <c r="C20" s="312">
        <f>'t1'!C20+'t1'!D20</f>
        <v>0</v>
      </c>
      <c r="D20" s="312">
        <f>'t5'!U21+'t5'!V21</f>
        <v>0</v>
      </c>
      <c r="E20" s="313">
        <f>'t6'!U21+'t6'!V21</f>
        <v>0</v>
      </c>
      <c r="F20" s="313">
        <f>'t4'!W29</f>
        <v>0</v>
      </c>
      <c r="G20" s="313">
        <f>'t4'!$Q$35</f>
        <v>0</v>
      </c>
      <c r="H20" s="313">
        <f t="shared" si="1"/>
        <v>0</v>
      </c>
      <c r="I20" s="313">
        <f>'t1'!K20+'t1'!L20</f>
        <v>0</v>
      </c>
      <c r="J20" s="92" t="str">
        <f t="shared" si="0"/>
        <v>OK</v>
      </c>
    </row>
    <row r="21" spans="1:20" ht="14.1" customHeight="1" x14ac:dyDescent="0.2">
      <c r="A21" s="603" t="str">
        <f>'t1'!A21</f>
        <v>ELEVATE PROFESSIONALITA'</v>
      </c>
      <c r="B21" s="163" t="str">
        <f>'t1'!B21</f>
        <v>0EP981</v>
      </c>
      <c r="C21" s="312">
        <f>'t1'!C21+'t1'!D21</f>
        <v>0</v>
      </c>
      <c r="D21" s="312">
        <f>'t5'!U22+'t5'!V22</f>
        <v>0</v>
      </c>
      <c r="E21" s="313">
        <f>'t6'!U22+'t6'!V22</f>
        <v>0</v>
      </c>
      <c r="F21" s="313">
        <f>'t4'!W30</f>
        <v>0</v>
      </c>
      <c r="G21" s="313">
        <f>'t4'!$R$35</f>
        <v>0</v>
      </c>
      <c r="H21" s="313">
        <f>C21-D21+E21-F21+G21</f>
        <v>0</v>
      </c>
      <c r="I21" s="313">
        <f>'t1'!K21+'t1'!L21</f>
        <v>0</v>
      </c>
      <c r="J21" s="92" t="str">
        <f>IF(H21=I21,"OK","ERRORE")</f>
        <v>OK</v>
      </c>
    </row>
    <row r="22" spans="1:20" ht="14.1" customHeight="1" x14ac:dyDescent="0.2">
      <c r="A22" s="603" t="str">
        <f>'t1'!A22</f>
        <v>FUNZIONARI</v>
      </c>
      <c r="B22" s="163" t="str">
        <f>'t1'!B22</f>
        <v>0FZ000</v>
      </c>
      <c r="C22" s="312">
        <f>'t1'!C22+'t1'!D22</f>
        <v>0</v>
      </c>
      <c r="D22" s="312">
        <f>'t5'!U23+'t5'!V23</f>
        <v>0</v>
      </c>
      <c r="E22" s="313">
        <f>'t6'!U23+'t6'!V23</f>
        <v>0</v>
      </c>
      <c r="F22" s="313">
        <f>'t4'!W31</f>
        <v>0</v>
      </c>
      <c r="G22" s="313">
        <f>'t4'!$S$35</f>
        <v>0</v>
      </c>
      <c r="H22" s="313">
        <f>C22-D22+E22-F22+G22</f>
        <v>0</v>
      </c>
      <c r="I22" s="313">
        <f>'t1'!K22+'t1'!L22</f>
        <v>0</v>
      </c>
      <c r="J22" s="92" t="str">
        <f>IF(H22=I22,"OK","ERRORE")</f>
        <v>OK</v>
      </c>
    </row>
    <row r="23" spans="1:20" ht="14.1" customHeight="1" x14ac:dyDescent="0.2">
      <c r="A23" s="603" t="str">
        <f>'t1'!A23</f>
        <v>ASSISTENTI</v>
      </c>
      <c r="B23" s="163" t="str">
        <f>'t1'!B23</f>
        <v>0AS000</v>
      </c>
      <c r="C23" s="312">
        <f>'t1'!C23+'t1'!D23</f>
        <v>0</v>
      </c>
      <c r="D23" s="312">
        <f>'t5'!U24+'t5'!V24</f>
        <v>0</v>
      </c>
      <c r="E23" s="313">
        <f>'t6'!U24+'t6'!V24</f>
        <v>0</v>
      </c>
      <c r="F23" s="313">
        <f>'t4'!W32</f>
        <v>0</v>
      </c>
      <c r="G23" s="313">
        <f>'t4'!$T$35</f>
        <v>0</v>
      </c>
      <c r="H23" s="313">
        <f>C23-D23+E23-F23+G23</f>
        <v>0</v>
      </c>
      <c r="I23" s="313">
        <f>'t1'!K23+'t1'!L23</f>
        <v>0</v>
      </c>
      <c r="J23" s="92" t="str">
        <f>IF(H23=I23,"OK","ERRORE")</f>
        <v>OK</v>
      </c>
    </row>
    <row r="24" spans="1:20" ht="14.1" customHeight="1" x14ac:dyDescent="0.2">
      <c r="A24" s="603" t="str">
        <f>'t1'!A24</f>
        <v>OPERATORI</v>
      </c>
      <c r="B24" s="163" t="str">
        <f>'t1'!B24</f>
        <v>0OP000</v>
      </c>
      <c r="C24" s="312">
        <f>'t1'!C24+'t1'!D24</f>
        <v>0</v>
      </c>
      <c r="D24" s="312">
        <f>'t5'!U25+'t5'!V25</f>
        <v>0</v>
      </c>
      <c r="E24" s="313">
        <f>'t6'!U25+'t6'!V25</f>
        <v>0</v>
      </c>
      <c r="F24" s="313">
        <f>'t4'!W33</f>
        <v>0</v>
      </c>
      <c r="G24" s="313">
        <f>'t4'!$U$35</f>
        <v>0</v>
      </c>
      <c r="H24" s="313">
        <f>C24-D24+E24-F24+G24</f>
        <v>0</v>
      </c>
      <c r="I24" s="313">
        <f>'t1'!K24+'t1'!L24</f>
        <v>0</v>
      </c>
      <c r="J24" s="92" t="str">
        <f>IF(H24=I24,"OK","ERRORE")</f>
        <v>OK</v>
      </c>
    </row>
    <row r="25" spans="1:20" ht="14.1" customHeight="1" x14ac:dyDescent="0.2">
      <c r="A25" s="603" t="str">
        <f>'t1'!A25</f>
        <v>CONTRATTISTI</v>
      </c>
      <c r="B25" s="163" t="str">
        <f>'t1'!B25</f>
        <v>000061</v>
      </c>
      <c r="C25" s="312">
        <f>'t1'!C25+'t1'!D25</f>
        <v>0</v>
      </c>
      <c r="D25" s="312">
        <f>'t5'!U26+'t5'!V26</f>
        <v>0</v>
      </c>
      <c r="E25" s="313">
        <f>'t6'!U26+'t6'!V26</f>
        <v>0</v>
      </c>
      <c r="F25" s="313">
        <f>'t4'!W34</f>
        <v>0</v>
      </c>
      <c r="G25" s="313">
        <f>'t4'!$V$35</f>
        <v>0</v>
      </c>
      <c r="H25" s="313">
        <f t="shared" ref="H25" si="2">C25-D25+E25-F25+G25</f>
        <v>0</v>
      </c>
      <c r="I25" s="313">
        <f>'t1'!K25+'t1'!L25</f>
        <v>0</v>
      </c>
      <c r="J25" s="92" t="str">
        <f t="shared" ref="J25" si="3">IF(H25=I25,"OK","ERRORE")</f>
        <v>OK</v>
      </c>
    </row>
    <row r="26" spans="1:20" s="319" customFormat="1" ht="15.75" customHeight="1" x14ac:dyDescent="0.2">
      <c r="A26" s="604" t="str">
        <f>'t1'!A26</f>
        <v>TOTALE</v>
      </c>
      <c r="B26" s="183"/>
      <c r="C26" s="336">
        <f t="shared" ref="C26:I26" si="4">SUM(C6:C25)</f>
        <v>0</v>
      </c>
      <c r="D26" s="336">
        <f t="shared" si="4"/>
        <v>0</v>
      </c>
      <c r="E26" s="336">
        <f t="shared" si="4"/>
        <v>0</v>
      </c>
      <c r="F26" s="336">
        <f t="shared" si="4"/>
        <v>0</v>
      </c>
      <c r="G26" s="336">
        <f t="shared" si="4"/>
        <v>0</v>
      </c>
      <c r="H26" s="336">
        <f t="shared" si="4"/>
        <v>0</v>
      </c>
      <c r="I26" s="336">
        <f t="shared" si="4"/>
        <v>0</v>
      </c>
      <c r="J26" s="156" t="str">
        <f>IF(H26=I26,"OK","ERRORE")</f>
        <v>OK</v>
      </c>
    </row>
    <row r="31" spans="1:20" x14ac:dyDescent="0.2">
      <c r="F31" s="333"/>
      <c r="G31" s="333"/>
      <c r="H31" s="333"/>
      <c r="I31" s="333"/>
      <c r="J31" s="333"/>
      <c r="K31" s="334"/>
      <c r="L31" s="334"/>
      <c r="M31" s="334"/>
      <c r="N31" s="334"/>
      <c r="O31" s="334"/>
      <c r="P31" s="334"/>
      <c r="Q31" s="334"/>
      <c r="R31" s="334"/>
      <c r="S31" s="334"/>
      <c r="T31" s="334"/>
    </row>
    <row r="35" spans="7:7" x14ac:dyDescent="0.2">
      <c r="G35" s="333"/>
    </row>
    <row r="36" spans="7:7" x14ac:dyDescent="0.2">
      <c r="G36" s="333"/>
    </row>
    <row r="37" spans="7:7" x14ac:dyDescent="0.2">
      <c r="G37" s="333"/>
    </row>
    <row r="38" spans="7:7" x14ac:dyDescent="0.2">
      <c r="G38" s="333"/>
    </row>
    <row r="39" spans="7:7" x14ac:dyDescent="0.2">
      <c r="G39" s="333"/>
    </row>
    <row r="40" spans="7:7" x14ac:dyDescent="0.2">
      <c r="G40" s="334"/>
    </row>
    <row r="41" spans="7:7" x14ac:dyDescent="0.2">
      <c r="G41" s="334"/>
    </row>
    <row r="42" spans="7:7" x14ac:dyDescent="0.2">
      <c r="G42" s="334"/>
    </row>
    <row r="43" spans="7:7" x14ac:dyDescent="0.2">
      <c r="G43" s="334"/>
    </row>
    <row r="44" spans="7:7" x14ac:dyDescent="0.2">
      <c r="G44" s="334"/>
    </row>
    <row r="45" spans="7:7" x14ac:dyDescent="0.2">
      <c r="G45" s="334"/>
    </row>
    <row r="46" spans="7:7" x14ac:dyDescent="0.2">
      <c r="G46" s="334"/>
    </row>
    <row r="47" spans="7:7" x14ac:dyDescent="0.2">
      <c r="G47" s="334"/>
    </row>
    <row r="48" spans="7:7" x14ac:dyDescent="0.2">
      <c r="G48" s="334"/>
    </row>
    <row r="49" spans="7:7" x14ac:dyDescent="0.2">
      <c r="G49" s="334"/>
    </row>
  </sheetData>
  <sheetProtection algorithmName="SHA-512" hashValue="+mvltBUsTxe+jveSqu1omISJrihUnihVNYGZVUb93dZUclmUb1QHyvaErfCEESNib0H8Elrroku0gITcf7N2Rw==" saltValue="pylvnGTojE8O1iGN6+VM3g==" spinCount="100000" sheet="1" formatColumns="0" selectLockedCells="1" selectUnlockedCells="1"/>
  <dataConsolidate/>
  <mergeCells count="2">
    <mergeCell ref="A1:H1"/>
    <mergeCell ref="D2:J2"/>
  </mergeCells>
  <phoneticPr fontId="30" type="noConversion"/>
  <printOptions horizontalCentered="1" verticalCentered="1"/>
  <pageMargins left="0" right="0" top="0.15748031496062992" bottom="0.15748031496062992" header="0.19685039370078741" footer="0.19685039370078741"/>
  <pageSetup paperSize="9" scale="85" orientation="landscape" horizontalDpi="300" verticalDpi="4294967292"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Foglio23"/>
  <dimension ref="A1:M27"/>
  <sheetViews>
    <sheetView showGridLines="0" workbookViewId="0">
      <pane xSplit="2" ySplit="6" topLeftCell="C7" activePane="bottomRight" state="frozen"/>
      <selection activeCell="A2" sqref="A2"/>
      <selection pane="topRight" activeCell="A2" sqref="A2"/>
      <selection pane="bottomLeft" activeCell="A2" sqref="A2"/>
      <selection pane="bottomRight" activeCell="A27" sqref="A27:XFD34"/>
    </sheetView>
  </sheetViews>
  <sheetFormatPr defaultColWidth="9.28515625" defaultRowHeight="10.199999999999999" x14ac:dyDescent="0.2"/>
  <cols>
    <col min="1" max="1" width="35.7109375" style="3" customWidth="1"/>
    <col min="2" max="2" width="12.42578125" style="2" customWidth="1"/>
    <col min="3" max="3" width="11" style="2" customWidth="1"/>
    <col min="4" max="5" width="12.42578125" style="2" customWidth="1"/>
    <col min="6" max="7" width="10.7109375" style="2" customWidth="1"/>
    <col min="8" max="8" width="11" style="2" customWidth="1"/>
    <col min="9" max="10" width="12.42578125" style="2" customWidth="1"/>
    <col min="11" max="11" width="10.7109375" style="2" customWidth="1"/>
    <col min="12" max="12" width="10.7109375" style="3" customWidth="1"/>
    <col min="13" max="16384" width="9.28515625" style="3"/>
  </cols>
  <sheetData>
    <row r="1" spans="1:13" ht="43.5" customHeight="1" x14ac:dyDescent="0.2">
      <c r="A1" s="1463" t="str">
        <f>'t1'!A1</f>
        <v>ENTI PUBBLICI NON ECONOMICI - anno 2023</v>
      </c>
      <c r="B1" s="1463"/>
      <c r="C1" s="1463"/>
      <c r="D1" s="1463"/>
      <c r="E1" s="1463"/>
      <c r="F1" s="1463"/>
      <c r="G1" s="1463"/>
      <c r="H1" s="1463"/>
      <c r="I1" s="1463"/>
      <c r="J1" s="1463"/>
      <c r="K1" s="3"/>
      <c r="L1" s="286"/>
      <c r="M1"/>
    </row>
    <row r="2" spans="1:13" ht="21" customHeight="1" x14ac:dyDescent="0.2">
      <c r="B2" s="3"/>
      <c r="C2" s="3"/>
      <c r="D2" s="3"/>
      <c r="E2" s="1547"/>
      <c r="F2" s="1547"/>
      <c r="G2" s="1547"/>
      <c r="H2" s="1547"/>
      <c r="I2" s="1547"/>
      <c r="J2" s="1547"/>
      <c r="K2" s="1547"/>
      <c r="L2" s="1547"/>
      <c r="M2"/>
    </row>
    <row r="3" spans="1:13" ht="21" customHeight="1" x14ac:dyDescent="0.25">
      <c r="A3" s="173" t="str">
        <f>"Tavola di coerenza tra presenti al 31.12."&amp;'t1'!L1&amp;" rilevati nelle Tabelle 1, 7, 8 e 9 (Squadratura 2)"</f>
        <v>Tavola di coerenza tra presenti al 31.12.2023 rilevati nelle Tabelle 1, 7, 8 e 9 (Squadratura 2)</v>
      </c>
      <c r="C3" s="3"/>
      <c r="D3" s="3"/>
      <c r="E3" s="3"/>
      <c r="F3" s="3"/>
      <c r="G3" s="3"/>
      <c r="H3" s="3"/>
      <c r="I3" s="3"/>
      <c r="J3" s="3"/>
      <c r="K3" s="3"/>
    </row>
    <row r="4" spans="1:13" s="91" customFormat="1" ht="11.25" customHeight="1" x14ac:dyDescent="0.25">
      <c r="A4" s="165"/>
      <c r="B4" s="165"/>
      <c r="C4" s="1588" t="s">
        <v>241</v>
      </c>
      <c r="D4" s="1589"/>
      <c r="E4" s="1589"/>
      <c r="F4" s="1589"/>
      <c r="G4" s="1590"/>
      <c r="H4" s="1588" t="s">
        <v>242</v>
      </c>
      <c r="I4" s="1589"/>
      <c r="J4" s="1589"/>
      <c r="K4" s="1589"/>
      <c r="L4" s="1590"/>
    </row>
    <row r="5" spans="1:13" ht="70.5" customHeight="1" x14ac:dyDescent="0.2">
      <c r="A5" s="157" t="s">
        <v>181</v>
      </c>
      <c r="B5" s="157" t="s">
        <v>180</v>
      </c>
      <c r="C5" s="164" t="str">
        <f>"Presenti 31.12."&amp;'t1'!L1&amp;" (Tab 1)"</f>
        <v>Presenti 31.12.2023 (Tab 1)</v>
      </c>
      <c r="D5" s="161" t="s">
        <v>191</v>
      </c>
      <c r="E5" s="161" t="s">
        <v>192</v>
      </c>
      <c r="F5" s="161" t="s">
        <v>11</v>
      </c>
      <c r="G5" s="161" t="s">
        <v>190</v>
      </c>
      <c r="H5" s="164" t="str">
        <f>"Presenti 31.12."&amp;'t1'!L1&amp;" (Tab 1)"</f>
        <v>Presenti 31.12.2023 (Tab 1)</v>
      </c>
      <c r="I5" s="161" t="s">
        <v>191</v>
      </c>
      <c r="J5" s="161" t="s">
        <v>192</v>
      </c>
      <c r="K5" s="161" t="s">
        <v>11</v>
      </c>
      <c r="L5" s="161" t="s">
        <v>190</v>
      </c>
    </row>
    <row r="6" spans="1:13" x14ac:dyDescent="0.2">
      <c r="A6" s="158"/>
      <c r="B6" s="158"/>
      <c r="C6" s="166" t="s">
        <v>182</v>
      </c>
      <c r="D6" s="166" t="s">
        <v>183</v>
      </c>
      <c r="E6" s="166" t="s">
        <v>184</v>
      </c>
      <c r="F6" s="166" t="s">
        <v>185</v>
      </c>
      <c r="G6" s="167" t="s">
        <v>208</v>
      </c>
      <c r="H6" s="166" t="s">
        <v>186</v>
      </c>
      <c r="I6" s="166" t="s">
        <v>206</v>
      </c>
      <c r="J6" s="166" t="s">
        <v>188</v>
      </c>
      <c r="K6" s="166" t="s">
        <v>196</v>
      </c>
      <c r="L6" s="167" t="s">
        <v>209</v>
      </c>
    </row>
    <row r="7" spans="1:13" ht="14.1" customHeight="1" x14ac:dyDescent="0.2">
      <c r="A7" s="118" t="str">
        <f>'t1'!A6</f>
        <v>DIRETTORE GENERALE</v>
      </c>
      <c r="B7" s="163" t="str">
        <f>'t1'!B6</f>
        <v>0D0097</v>
      </c>
      <c r="C7" s="312">
        <f>'t1'!K6</f>
        <v>0</v>
      </c>
      <c r="D7" s="312">
        <f>'t7'!W6</f>
        <v>0</v>
      </c>
      <c r="E7" s="313">
        <f>'t8'!AA6</f>
        <v>0</v>
      </c>
      <c r="F7" s="313">
        <f>'t9'!O6</f>
        <v>0</v>
      </c>
      <c r="G7" s="92" t="str">
        <f t="shared" ref="G7:G21" si="0">IF(COUNTIF(C7:F7,C7)=4,"OK","ERRORE")</f>
        <v>OK</v>
      </c>
      <c r="H7" s="313">
        <f>'t1'!L6</f>
        <v>0</v>
      </c>
      <c r="I7" s="313">
        <f>'t7'!X6</f>
        <v>0</v>
      </c>
      <c r="J7" s="313">
        <f>'t8'!AB6</f>
        <v>0</v>
      </c>
      <c r="K7" s="312">
        <f>'t9'!P6</f>
        <v>0</v>
      </c>
      <c r="L7" s="92" t="str">
        <f t="shared" ref="L7:L21" si="1">IF(COUNTIF(H7:K7,H7)=4,"OK","ERRORE")</f>
        <v>OK</v>
      </c>
    </row>
    <row r="8" spans="1:13" ht="14.1" customHeight="1" x14ac:dyDescent="0.2">
      <c r="A8" s="118" t="str">
        <f>'t1'!A7</f>
        <v>DIRIGENTE I FASCIA</v>
      </c>
      <c r="B8" s="163" t="str">
        <f>'t1'!B7</f>
        <v>0D0077</v>
      </c>
      <c r="C8" s="312">
        <f>'t1'!K7</f>
        <v>0</v>
      </c>
      <c r="D8" s="312">
        <f>'t7'!W7</f>
        <v>0</v>
      </c>
      <c r="E8" s="313">
        <f>'t8'!AA7</f>
        <v>0</v>
      </c>
      <c r="F8" s="313">
        <f>'t9'!O7</f>
        <v>0</v>
      </c>
      <c r="G8" s="92" t="str">
        <f t="shared" si="0"/>
        <v>OK</v>
      </c>
      <c r="H8" s="313">
        <f>'t1'!L7</f>
        <v>0</v>
      </c>
      <c r="I8" s="313">
        <f>'t7'!X7</f>
        <v>0</v>
      </c>
      <c r="J8" s="313">
        <f>'t8'!AB7</f>
        <v>0</v>
      </c>
      <c r="K8" s="312">
        <f>'t9'!P7</f>
        <v>0</v>
      </c>
      <c r="L8" s="92" t="str">
        <f t="shared" si="1"/>
        <v>OK</v>
      </c>
    </row>
    <row r="9" spans="1:13" ht="14.1" customHeight="1" x14ac:dyDescent="0.2">
      <c r="A9" s="118" t="str">
        <f>'t1'!A8</f>
        <v>DIRIGENTE I FASCIA A TEMPO DETERM.</v>
      </c>
      <c r="B9" s="163" t="str">
        <f>'t1'!B8</f>
        <v>0D0078</v>
      </c>
      <c r="C9" s="312">
        <f>'t1'!K8</f>
        <v>0</v>
      </c>
      <c r="D9" s="312">
        <f>'t7'!W8</f>
        <v>0</v>
      </c>
      <c r="E9" s="313">
        <f>'t8'!AA8</f>
        <v>0</v>
      </c>
      <c r="F9" s="313">
        <f>'t9'!O8</f>
        <v>0</v>
      </c>
      <c r="G9" s="92" t="str">
        <f t="shared" si="0"/>
        <v>OK</v>
      </c>
      <c r="H9" s="313">
        <f>'t1'!L8</f>
        <v>0</v>
      </c>
      <c r="I9" s="313">
        <f>'t7'!X8</f>
        <v>0</v>
      </c>
      <c r="J9" s="313">
        <f>'t8'!AB8</f>
        <v>0</v>
      </c>
      <c r="K9" s="312">
        <f>'t9'!P8</f>
        <v>0</v>
      </c>
      <c r="L9" s="92" t="str">
        <f t="shared" si="1"/>
        <v>OK</v>
      </c>
    </row>
    <row r="10" spans="1:13" ht="14.1" customHeight="1" x14ac:dyDescent="0.2">
      <c r="A10" s="118" t="str">
        <f>'t1'!A9</f>
        <v>DIRIGENTE II FASCIA</v>
      </c>
      <c r="B10" s="163" t="str">
        <f>'t1'!B9</f>
        <v>0D0079</v>
      </c>
      <c r="C10" s="312">
        <f>'t1'!K9</f>
        <v>0</v>
      </c>
      <c r="D10" s="312">
        <f>'t7'!W9</f>
        <v>0</v>
      </c>
      <c r="E10" s="313">
        <f>'t8'!AA9</f>
        <v>0</v>
      </c>
      <c r="F10" s="313">
        <f>'t9'!O9</f>
        <v>0</v>
      </c>
      <c r="G10" s="92" t="str">
        <f t="shared" si="0"/>
        <v>OK</v>
      </c>
      <c r="H10" s="313">
        <f>'t1'!L9</f>
        <v>0</v>
      </c>
      <c r="I10" s="313">
        <f>'t7'!X9</f>
        <v>0</v>
      </c>
      <c r="J10" s="313">
        <f>'t8'!AB9</f>
        <v>0</v>
      </c>
      <c r="K10" s="312">
        <f>'t9'!P9</f>
        <v>0</v>
      </c>
      <c r="L10" s="92" t="str">
        <f t="shared" si="1"/>
        <v>OK</v>
      </c>
    </row>
    <row r="11" spans="1:13" ht="14.1" customHeight="1" x14ac:dyDescent="0.2">
      <c r="A11" s="118" t="str">
        <f>'t1'!A10</f>
        <v>DIRIGENTE II FASCIA A TEMPO DETERM.</v>
      </c>
      <c r="B11" s="163" t="str">
        <f>'t1'!B10</f>
        <v>0D0080</v>
      </c>
      <c r="C11" s="312">
        <f>'t1'!K10</f>
        <v>0</v>
      </c>
      <c r="D11" s="312">
        <f>'t7'!W10</f>
        <v>0</v>
      </c>
      <c r="E11" s="313">
        <f>'t8'!AA10</f>
        <v>0</v>
      </c>
      <c r="F11" s="313">
        <f>'t9'!O10</f>
        <v>0</v>
      </c>
      <c r="G11" s="92" t="str">
        <f t="shared" si="0"/>
        <v>OK</v>
      </c>
      <c r="H11" s="313">
        <f>'t1'!L10</f>
        <v>0</v>
      </c>
      <c r="I11" s="313">
        <f>'t7'!X10</f>
        <v>0</v>
      </c>
      <c r="J11" s="313">
        <f>'t8'!AB10</f>
        <v>0</v>
      </c>
      <c r="K11" s="312">
        <f>'t9'!P10</f>
        <v>0</v>
      </c>
      <c r="L11" s="92" t="str">
        <f t="shared" si="1"/>
        <v>OK</v>
      </c>
    </row>
    <row r="12" spans="1:13" ht="14.1" customHeight="1" x14ac:dyDescent="0.2">
      <c r="A12" s="118" t="str">
        <f>'t1'!A11</f>
        <v>MEDICO II FASCIA T.P.</v>
      </c>
      <c r="B12" s="163" t="str">
        <f>'t1'!B11</f>
        <v>0D0584</v>
      </c>
      <c r="C12" s="312">
        <f>'t1'!K11</f>
        <v>0</v>
      </c>
      <c r="D12" s="312">
        <f>'t7'!W11</f>
        <v>0</v>
      </c>
      <c r="E12" s="313">
        <f>'t8'!AA11</f>
        <v>0</v>
      </c>
      <c r="F12" s="313">
        <f>'t9'!O11</f>
        <v>0</v>
      </c>
      <c r="G12" s="92" t="str">
        <f t="shared" si="0"/>
        <v>OK</v>
      </c>
      <c r="H12" s="313">
        <f>'t1'!L11</f>
        <v>0</v>
      </c>
      <c r="I12" s="313">
        <f>'t7'!X11</f>
        <v>0</v>
      </c>
      <c r="J12" s="313">
        <f>'t8'!AB11</f>
        <v>0</v>
      </c>
      <c r="K12" s="312">
        <f>'t9'!P11</f>
        <v>0</v>
      </c>
      <c r="L12" s="92" t="str">
        <f t="shared" si="1"/>
        <v>OK</v>
      </c>
    </row>
    <row r="13" spans="1:13" ht="14.1" customHeight="1" x14ac:dyDescent="0.2">
      <c r="A13" s="118" t="str">
        <f>'t1'!A12</f>
        <v>MEDICO I FASCIA T.P.</v>
      </c>
      <c r="B13" s="163" t="str">
        <f>'t1'!B12</f>
        <v>0D0585</v>
      </c>
      <c r="C13" s="312">
        <f>'t1'!K12</f>
        <v>0</v>
      </c>
      <c r="D13" s="312">
        <f>'t7'!W12</f>
        <v>0</v>
      </c>
      <c r="E13" s="313">
        <f>'t8'!AA12</f>
        <v>0</v>
      </c>
      <c r="F13" s="313">
        <f>'t9'!O12</f>
        <v>0</v>
      </c>
      <c r="G13" s="92" t="str">
        <f t="shared" si="0"/>
        <v>OK</v>
      </c>
      <c r="H13" s="313">
        <f>'t1'!L12</f>
        <v>0</v>
      </c>
      <c r="I13" s="313">
        <f>'t7'!X12</f>
        <v>0</v>
      </c>
      <c r="J13" s="313">
        <f>'t8'!AB12</f>
        <v>0</v>
      </c>
      <c r="K13" s="312">
        <f>'t9'!P12</f>
        <v>0</v>
      </c>
      <c r="L13" s="92" t="str">
        <f t="shared" si="1"/>
        <v>OK</v>
      </c>
    </row>
    <row r="14" spans="1:13" ht="14.1" customHeight="1" x14ac:dyDescent="0.2">
      <c r="A14" s="118" t="str">
        <f>'t1'!A13</f>
        <v>MEDICO II FASCIA T.D.</v>
      </c>
      <c r="B14" s="163" t="str">
        <f>'t1'!B13</f>
        <v>0D0586</v>
      </c>
      <c r="C14" s="312">
        <f>'t1'!K13</f>
        <v>0</v>
      </c>
      <c r="D14" s="312">
        <f>'t7'!W13</f>
        <v>0</v>
      </c>
      <c r="E14" s="313">
        <f>'t8'!AA13</f>
        <v>0</v>
      </c>
      <c r="F14" s="313">
        <f>'t9'!O13</f>
        <v>0</v>
      </c>
      <c r="G14" s="92" t="str">
        <f t="shared" si="0"/>
        <v>OK</v>
      </c>
      <c r="H14" s="313">
        <f>'t1'!L13</f>
        <v>0</v>
      </c>
      <c r="I14" s="313">
        <f>'t7'!X13</f>
        <v>0</v>
      </c>
      <c r="J14" s="313">
        <f>'t8'!AB13</f>
        <v>0</v>
      </c>
      <c r="K14" s="312">
        <f>'t9'!P13</f>
        <v>0</v>
      </c>
      <c r="L14" s="92" t="str">
        <f t="shared" si="1"/>
        <v>OK</v>
      </c>
    </row>
    <row r="15" spans="1:13" ht="14.1" customHeight="1" x14ac:dyDescent="0.2">
      <c r="A15" s="118" t="str">
        <f>'t1'!A14</f>
        <v>MEDICO I FASCIA T.D.</v>
      </c>
      <c r="B15" s="163" t="str">
        <f>'t1'!B14</f>
        <v>0D0496</v>
      </c>
      <c r="C15" s="312">
        <f>'t1'!K14</f>
        <v>0</v>
      </c>
      <c r="D15" s="312">
        <f>'t7'!W14</f>
        <v>0</v>
      </c>
      <c r="E15" s="313">
        <f>'t8'!AA14</f>
        <v>0</v>
      </c>
      <c r="F15" s="313">
        <f>'t9'!O14</f>
        <v>0</v>
      </c>
      <c r="G15" s="92" t="str">
        <f t="shared" si="0"/>
        <v>OK</v>
      </c>
      <c r="H15" s="313">
        <f>'t1'!L14</f>
        <v>0</v>
      </c>
      <c r="I15" s="313">
        <f>'t7'!X14</f>
        <v>0</v>
      </c>
      <c r="J15" s="313">
        <f>'t8'!AB14</f>
        <v>0</v>
      </c>
      <c r="K15" s="312">
        <f>'t9'!P14</f>
        <v>0</v>
      </c>
      <c r="L15" s="92" t="str">
        <f t="shared" si="1"/>
        <v>OK</v>
      </c>
    </row>
    <row r="16" spans="1:13" ht="14.1" customHeight="1" x14ac:dyDescent="0.2">
      <c r="A16" s="118" t="str">
        <f>'t1'!A15</f>
        <v>PROF.STI LEGALI LIV. II DIFF.</v>
      </c>
      <c r="B16" s="163" t="str">
        <f>'t1'!B15</f>
        <v>0D0473</v>
      </c>
      <c r="C16" s="312">
        <f>'t1'!K15</f>
        <v>0</v>
      </c>
      <c r="D16" s="312">
        <f>'t7'!W15</f>
        <v>0</v>
      </c>
      <c r="E16" s="313">
        <f>'t8'!AA15</f>
        <v>0</v>
      </c>
      <c r="F16" s="313">
        <f>'t9'!O15</f>
        <v>0</v>
      </c>
      <c r="G16" s="92" t="str">
        <f t="shared" si="0"/>
        <v>OK</v>
      </c>
      <c r="H16" s="313">
        <f>'t1'!L15</f>
        <v>0</v>
      </c>
      <c r="I16" s="313">
        <f>'t7'!X15</f>
        <v>0</v>
      </c>
      <c r="J16" s="313">
        <f>'t8'!AB15</f>
        <v>0</v>
      </c>
      <c r="K16" s="312">
        <f>'t9'!P15</f>
        <v>0</v>
      </c>
      <c r="L16" s="92" t="str">
        <f t="shared" si="1"/>
        <v>OK</v>
      </c>
    </row>
    <row r="17" spans="1:12" ht="14.1" customHeight="1" x14ac:dyDescent="0.2">
      <c r="A17" s="118" t="str">
        <f>'t1'!A16</f>
        <v>PROF.STI LEGALI LIV. I DIFF.</v>
      </c>
      <c r="B17" s="163" t="str">
        <f>'t1'!B16</f>
        <v>0D0472</v>
      </c>
      <c r="C17" s="312">
        <f>'t1'!K16</f>
        <v>0</v>
      </c>
      <c r="D17" s="312">
        <f>'t7'!W16</f>
        <v>0</v>
      </c>
      <c r="E17" s="313">
        <f>'t8'!AA16</f>
        <v>0</v>
      </c>
      <c r="F17" s="313">
        <f>'t9'!O16</f>
        <v>0</v>
      </c>
      <c r="G17" s="92" t="str">
        <f t="shared" si="0"/>
        <v>OK</v>
      </c>
      <c r="H17" s="313">
        <f>'t1'!L16</f>
        <v>0</v>
      </c>
      <c r="I17" s="313">
        <f>'t7'!X16</f>
        <v>0</v>
      </c>
      <c r="J17" s="313">
        <f>'t8'!AB16</f>
        <v>0</v>
      </c>
      <c r="K17" s="312">
        <f>'t9'!P16</f>
        <v>0</v>
      </c>
      <c r="L17" s="92" t="str">
        <f t="shared" si="1"/>
        <v>OK</v>
      </c>
    </row>
    <row r="18" spans="1:12" ht="14.1" customHeight="1" x14ac:dyDescent="0.2">
      <c r="A18" s="118" t="str">
        <f>'t1'!A17</f>
        <v>PROF.STI LEGALI</v>
      </c>
      <c r="B18" s="163" t="str">
        <f>'t1'!B17</f>
        <v>0D0084</v>
      </c>
      <c r="C18" s="312">
        <f>'t1'!K17</f>
        <v>0</v>
      </c>
      <c r="D18" s="312">
        <f>'t7'!W17</f>
        <v>0</v>
      </c>
      <c r="E18" s="313">
        <f>'t8'!AA17</f>
        <v>0</v>
      </c>
      <c r="F18" s="313">
        <f>'t9'!O17</f>
        <v>0</v>
      </c>
      <c r="G18" s="92" t="str">
        <f t="shared" si="0"/>
        <v>OK</v>
      </c>
      <c r="H18" s="313">
        <f>'t1'!L17</f>
        <v>0</v>
      </c>
      <c r="I18" s="313">
        <f>'t7'!X17</f>
        <v>0</v>
      </c>
      <c r="J18" s="313">
        <f>'t8'!AB17</f>
        <v>0</v>
      </c>
      <c r="K18" s="312">
        <f>'t9'!P17</f>
        <v>0</v>
      </c>
      <c r="L18" s="92" t="str">
        <f t="shared" si="1"/>
        <v>OK</v>
      </c>
    </row>
    <row r="19" spans="1:12" ht="14.1" customHeight="1" x14ac:dyDescent="0.2">
      <c r="A19" s="118" t="str">
        <f>'t1'!A18</f>
        <v>ALTRI PROF.STI LIV. II DIFF.</v>
      </c>
      <c r="B19" s="163" t="str">
        <f>'t1'!B18</f>
        <v>0D0481</v>
      </c>
      <c r="C19" s="312">
        <f>'t1'!K18</f>
        <v>0</v>
      </c>
      <c r="D19" s="312">
        <f>'t7'!W18</f>
        <v>0</v>
      </c>
      <c r="E19" s="313">
        <f>'t8'!AA18</f>
        <v>0</v>
      </c>
      <c r="F19" s="313">
        <f>'t9'!O18</f>
        <v>0</v>
      </c>
      <c r="G19" s="92" t="str">
        <f t="shared" si="0"/>
        <v>OK</v>
      </c>
      <c r="H19" s="313">
        <f>'t1'!L18</f>
        <v>0</v>
      </c>
      <c r="I19" s="313">
        <f>'t7'!X18</f>
        <v>0</v>
      </c>
      <c r="J19" s="313">
        <f>'t8'!AB18</f>
        <v>0</v>
      </c>
      <c r="K19" s="312">
        <f>'t9'!P18</f>
        <v>0</v>
      </c>
      <c r="L19" s="92" t="str">
        <f t="shared" si="1"/>
        <v>OK</v>
      </c>
    </row>
    <row r="20" spans="1:12" ht="14.1" customHeight="1" x14ac:dyDescent="0.2">
      <c r="A20" s="118" t="str">
        <f>'t1'!A19</f>
        <v>ALTRI PROF.STI LIV. I DIFF.</v>
      </c>
      <c r="B20" s="163" t="str">
        <f>'t1'!B19</f>
        <v>0D0480</v>
      </c>
      <c r="C20" s="312">
        <f>'t1'!K19</f>
        <v>0</v>
      </c>
      <c r="D20" s="312">
        <f>'t7'!W19</f>
        <v>0</v>
      </c>
      <c r="E20" s="313">
        <f>'t8'!AA19</f>
        <v>0</v>
      </c>
      <c r="F20" s="313">
        <f>'t9'!O19</f>
        <v>0</v>
      </c>
      <c r="G20" s="92" t="str">
        <f t="shared" si="0"/>
        <v>OK</v>
      </c>
      <c r="H20" s="313">
        <f>'t1'!L19</f>
        <v>0</v>
      </c>
      <c r="I20" s="313">
        <f>'t7'!X19</f>
        <v>0</v>
      </c>
      <c r="J20" s="313">
        <f>'t8'!AB19</f>
        <v>0</v>
      </c>
      <c r="K20" s="312">
        <f>'t9'!P19</f>
        <v>0</v>
      </c>
      <c r="L20" s="92" t="str">
        <f t="shared" si="1"/>
        <v>OK</v>
      </c>
    </row>
    <row r="21" spans="1:12" ht="14.1" customHeight="1" x14ac:dyDescent="0.2">
      <c r="A21" s="118" t="str">
        <f>'t1'!A20</f>
        <v>ALTRI PROF.STI</v>
      </c>
      <c r="B21" s="163" t="str">
        <f>'t1'!B20</f>
        <v>0D0075</v>
      </c>
      <c r="C21" s="312">
        <f>'t1'!K20</f>
        <v>0</v>
      </c>
      <c r="D21" s="312">
        <f>'t7'!W20</f>
        <v>0</v>
      </c>
      <c r="E21" s="313">
        <f>'t8'!AA20</f>
        <v>0</v>
      </c>
      <c r="F21" s="313">
        <f>'t9'!O20</f>
        <v>0</v>
      </c>
      <c r="G21" s="92" t="str">
        <f t="shared" si="0"/>
        <v>OK</v>
      </c>
      <c r="H21" s="313">
        <f>'t1'!L20</f>
        <v>0</v>
      </c>
      <c r="I21" s="313">
        <f>'t7'!X20</f>
        <v>0</v>
      </c>
      <c r="J21" s="313">
        <f>'t8'!AB20</f>
        <v>0</v>
      </c>
      <c r="K21" s="312">
        <f>'t9'!P20</f>
        <v>0</v>
      </c>
      <c r="L21" s="92" t="str">
        <f t="shared" si="1"/>
        <v>OK</v>
      </c>
    </row>
    <row r="22" spans="1:12" ht="14.1" customHeight="1" x14ac:dyDescent="0.2">
      <c r="A22" s="118" t="str">
        <f>'t1'!A21</f>
        <v>ELEVATE PROFESSIONALITA'</v>
      </c>
      <c r="B22" s="163" t="str">
        <f>'t1'!B21</f>
        <v>0EP981</v>
      </c>
      <c r="C22" s="312">
        <f>'t1'!K21</f>
        <v>0</v>
      </c>
      <c r="D22" s="312">
        <f>'t7'!W21</f>
        <v>0</v>
      </c>
      <c r="E22" s="313">
        <f>'t8'!AA21</f>
        <v>0</v>
      </c>
      <c r="F22" s="313">
        <f>'t9'!O21</f>
        <v>0</v>
      </c>
      <c r="G22" s="92" t="str">
        <f t="shared" ref="G22:G27" si="2">IF(COUNTIF(C22:F22,C22)=4,"OK","ERRORE")</f>
        <v>OK</v>
      </c>
      <c r="H22" s="313">
        <f>'t1'!L21</f>
        <v>0</v>
      </c>
      <c r="I22" s="313">
        <f>'t7'!X21</f>
        <v>0</v>
      </c>
      <c r="J22" s="313">
        <f>'t8'!AB21</f>
        <v>0</v>
      </c>
      <c r="K22" s="312">
        <f>'t9'!P21</f>
        <v>0</v>
      </c>
      <c r="L22" s="92" t="str">
        <f t="shared" ref="L22:L27" si="3">IF(COUNTIF(H22:K22,H22)=4,"OK","ERRORE")</f>
        <v>OK</v>
      </c>
    </row>
    <row r="23" spans="1:12" ht="14.1" customHeight="1" x14ac:dyDescent="0.2">
      <c r="A23" s="118" t="str">
        <f>'t1'!A22</f>
        <v>FUNZIONARI</v>
      </c>
      <c r="B23" s="163" t="str">
        <f>'t1'!B22</f>
        <v>0FZ000</v>
      </c>
      <c r="C23" s="312">
        <f>'t1'!K22</f>
        <v>0</v>
      </c>
      <c r="D23" s="312">
        <f>'t7'!W22</f>
        <v>0</v>
      </c>
      <c r="E23" s="313">
        <f>'t8'!AA22</f>
        <v>0</v>
      </c>
      <c r="F23" s="313">
        <f>'t9'!O22</f>
        <v>0</v>
      </c>
      <c r="G23" s="92" t="str">
        <f t="shared" si="2"/>
        <v>OK</v>
      </c>
      <c r="H23" s="313">
        <f>'t1'!L22</f>
        <v>0</v>
      </c>
      <c r="I23" s="313">
        <f>'t7'!X22</f>
        <v>0</v>
      </c>
      <c r="J23" s="313">
        <f>'t8'!AB22</f>
        <v>0</v>
      </c>
      <c r="K23" s="312">
        <f>'t9'!P22</f>
        <v>0</v>
      </c>
      <c r="L23" s="92" t="str">
        <f t="shared" si="3"/>
        <v>OK</v>
      </c>
    </row>
    <row r="24" spans="1:12" ht="14.1" customHeight="1" x14ac:dyDescent="0.2">
      <c r="A24" s="118" t="str">
        <f>'t1'!A23</f>
        <v>ASSISTENTI</v>
      </c>
      <c r="B24" s="163" t="str">
        <f>'t1'!B23</f>
        <v>0AS000</v>
      </c>
      <c r="C24" s="312">
        <f>'t1'!K23</f>
        <v>0</v>
      </c>
      <c r="D24" s="312">
        <f>'t7'!W23</f>
        <v>0</v>
      </c>
      <c r="E24" s="313">
        <f>'t8'!AA23</f>
        <v>0</v>
      </c>
      <c r="F24" s="313">
        <f>'t9'!O23</f>
        <v>0</v>
      </c>
      <c r="G24" s="92" t="str">
        <f t="shared" si="2"/>
        <v>OK</v>
      </c>
      <c r="H24" s="313">
        <f>'t1'!L23</f>
        <v>0</v>
      </c>
      <c r="I24" s="313">
        <f>'t7'!X23</f>
        <v>0</v>
      </c>
      <c r="J24" s="313">
        <f>'t8'!AB23</f>
        <v>0</v>
      </c>
      <c r="K24" s="312">
        <f>'t9'!P23</f>
        <v>0</v>
      </c>
      <c r="L24" s="92" t="str">
        <f t="shared" si="3"/>
        <v>OK</v>
      </c>
    </row>
    <row r="25" spans="1:12" ht="14.1" customHeight="1" x14ac:dyDescent="0.2">
      <c r="A25" s="118" t="str">
        <f>'t1'!A24</f>
        <v>OPERATORI</v>
      </c>
      <c r="B25" s="163" t="str">
        <f>'t1'!B24</f>
        <v>0OP000</v>
      </c>
      <c r="C25" s="312">
        <f>'t1'!K24</f>
        <v>0</v>
      </c>
      <c r="D25" s="312">
        <f>'t7'!W24</f>
        <v>0</v>
      </c>
      <c r="E25" s="313">
        <f>'t8'!AA24</f>
        <v>0</v>
      </c>
      <c r="F25" s="313">
        <f>'t9'!O24</f>
        <v>0</v>
      </c>
      <c r="G25" s="92" t="str">
        <f t="shared" si="2"/>
        <v>OK</v>
      </c>
      <c r="H25" s="313">
        <f>'t1'!L24</f>
        <v>0</v>
      </c>
      <c r="I25" s="313">
        <f>'t7'!X24</f>
        <v>0</v>
      </c>
      <c r="J25" s="313">
        <f>'t8'!AB24</f>
        <v>0</v>
      </c>
      <c r="K25" s="312">
        <f>'t9'!P24</f>
        <v>0</v>
      </c>
      <c r="L25" s="92" t="str">
        <f t="shared" si="3"/>
        <v>OK</v>
      </c>
    </row>
    <row r="26" spans="1:12" ht="14.1" customHeight="1" x14ac:dyDescent="0.2">
      <c r="A26" s="118" t="str">
        <f>'t1'!A25</f>
        <v>CONTRATTISTI</v>
      </c>
      <c r="B26" s="163" t="str">
        <f>'t1'!B25</f>
        <v>000061</v>
      </c>
      <c r="C26" s="312">
        <f>'t1'!K25</f>
        <v>0</v>
      </c>
      <c r="D26" s="312">
        <f>'t7'!W25</f>
        <v>0</v>
      </c>
      <c r="E26" s="313">
        <f>'t8'!AA25</f>
        <v>0</v>
      </c>
      <c r="F26" s="313">
        <f>'t9'!O25</f>
        <v>0</v>
      </c>
      <c r="G26" s="92" t="str">
        <f t="shared" si="2"/>
        <v>OK</v>
      </c>
      <c r="H26" s="313">
        <f>'t1'!L25</f>
        <v>0</v>
      </c>
      <c r="I26" s="313">
        <f>'t7'!X25</f>
        <v>0</v>
      </c>
      <c r="J26" s="313">
        <f>'t8'!AB25</f>
        <v>0</v>
      </c>
      <c r="K26" s="312">
        <f>'t9'!P25</f>
        <v>0</v>
      </c>
      <c r="L26" s="92" t="str">
        <f t="shared" si="3"/>
        <v>OK</v>
      </c>
    </row>
    <row r="27" spans="1:12" ht="15.75" customHeight="1" x14ac:dyDescent="0.2">
      <c r="A27" s="118" t="str">
        <f>'t1'!A26</f>
        <v>TOTALE</v>
      </c>
      <c r="B27" s="155"/>
      <c r="C27" s="313">
        <f>SUM(C7:C26)</f>
        <v>0</v>
      </c>
      <c r="D27" s="313">
        <f>SUM(D7:D26)</f>
        <v>0</v>
      </c>
      <c r="E27" s="313">
        <f>SUM(E7:E26)</f>
        <v>0</v>
      </c>
      <c r="F27" s="313">
        <f>SUM(F7:F26)</f>
        <v>0</v>
      </c>
      <c r="G27" s="92" t="str">
        <f t="shared" si="2"/>
        <v>OK</v>
      </c>
      <c r="H27" s="313">
        <f>SUM(H7:H26)</f>
        <v>0</v>
      </c>
      <c r="I27" s="313">
        <f>SUM(I7:I26)</f>
        <v>0</v>
      </c>
      <c r="J27" s="313">
        <f>SUM(J7:J26)</f>
        <v>0</v>
      </c>
      <c r="K27" s="313">
        <f>SUM(K7:K26)</f>
        <v>0</v>
      </c>
      <c r="L27" s="92" t="str">
        <f t="shared" si="3"/>
        <v>OK</v>
      </c>
    </row>
  </sheetData>
  <sheetProtection algorithmName="SHA-512" hashValue="fkPIoEgoyM/HLaoV8HTSeCRwYcQAYV0MvajLh2dI2hholVinganNp4qsMvWnjRk+UdGcHnxpTShjFY94tO+72g==" saltValue="fEa/VrnR16F+mR3M90uguQ==" spinCount="100000" sheet="1" formatColumns="0" selectLockedCells="1" selectUnlockedCells="1"/>
  <mergeCells count="4">
    <mergeCell ref="C4:G4"/>
    <mergeCell ref="H4:L4"/>
    <mergeCell ref="E2:L2"/>
    <mergeCell ref="A1:J1"/>
  </mergeCells>
  <phoneticPr fontId="30" type="noConversion"/>
  <printOptions horizontalCentered="1" verticalCentered="1"/>
  <pageMargins left="0" right="0" top="0.15748031496062992" bottom="0.15748031496062992" header="0.19685039370078741" footer="0.15748031496062992"/>
  <pageSetup paperSize="9" scale="80" orientation="landscape" horizontalDpi="300" verticalDpi="4294967292"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Foglio24">
    <tabColor indexed="10"/>
  </sheetPr>
  <dimension ref="A1:Z28"/>
  <sheetViews>
    <sheetView showGridLines="0" workbookViewId="0">
      <pane xSplit="2" ySplit="7" topLeftCell="K8" activePane="bottomRight" state="frozen"/>
      <selection activeCell="A2" sqref="A2"/>
      <selection pane="topRight" activeCell="A2" sqref="A2"/>
      <selection pane="bottomLeft" activeCell="A2" sqref="A2"/>
      <selection pane="bottomRight" activeCell="A28" sqref="A28:XFD35"/>
    </sheetView>
  </sheetViews>
  <sheetFormatPr defaultColWidth="9.28515625" defaultRowHeight="10.199999999999999" x14ac:dyDescent="0.2"/>
  <cols>
    <col min="1" max="1" width="37.28515625" style="3" customWidth="1"/>
    <col min="2" max="2" width="11" style="2" customWidth="1"/>
    <col min="3" max="3" width="10.7109375" style="2" customWidth="1"/>
    <col min="4" max="5" width="12.7109375" style="2" customWidth="1"/>
    <col min="6" max="6" width="13.7109375" style="2" customWidth="1"/>
    <col min="7" max="10" width="12.7109375" style="2" customWidth="1"/>
    <col min="11" max="13" width="13.28515625" style="2" customWidth="1"/>
    <col min="14" max="14" width="12.7109375" style="2" bestFit="1" customWidth="1"/>
    <col min="15" max="15" width="10.7109375" style="2" customWidth="1"/>
    <col min="16" max="22" width="12.7109375" style="2" customWidth="1"/>
    <col min="23" max="25" width="13.28515625" style="2" customWidth="1"/>
    <col min="26" max="26" width="12.7109375" style="2" bestFit="1" customWidth="1"/>
    <col min="27" max="16384" width="9.28515625" style="3"/>
  </cols>
  <sheetData>
    <row r="1" spans="1:26" ht="30" customHeight="1" x14ac:dyDescent="0.2">
      <c r="A1" s="1463" t="str">
        <f>'t1'!A1</f>
        <v>ENTI PUBBLICI NON ECONOMICI - anno 2023</v>
      </c>
      <c r="B1" s="1463"/>
      <c r="C1" s="1463"/>
      <c r="D1" s="1463"/>
      <c r="E1" s="1463"/>
      <c r="F1" s="1463"/>
      <c r="G1" s="1463"/>
      <c r="H1" s="1463"/>
      <c r="I1" s="1463"/>
      <c r="J1" s="1463"/>
      <c r="K1" s="1463"/>
      <c r="L1" s="1463"/>
      <c r="M1" s="1463"/>
      <c r="N1" s="1463"/>
      <c r="O1" s="1463"/>
      <c r="P1" s="1463"/>
      <c r="Q1" s="1463"/>
      <c r="R1" s="1463"/>
      <c r="S1" s="1463"/>
      <c r="T1" s="1463"/>
      <c r="U1" s="1463"/>
      <c r="V1" s="1463"/>
      <c r="W1" s="1463"/>
      <c r="X1" s="3"/>
      <c r="Y1" s="3"/>
      <c r="Z1" s="610"/>
    </row>
    <row r="2" spans="1:26" ht="36" customHeight="1" x14ac:dyDescent="0.3">
      <c r="A2" s="1594" t="s">
        <v>581</v>
      </c>
      <c r="B2" s="1594"/>
      <c r="C2" s="1594"/>
      <c r="D2" s="1594"/>
      <c r="E2" s="1594"/>
      <c r="F2" s="1594"/>
      <c r="G2" s="1594"/>
      <c r="H2" s="1594"/>
      <c r="I2" s="1594"/>
      <c r="J2" s="1594"/>
      <c r="K2" s="1594"/>
      <c r="L2" s="1594"/>
      <c r="M2" s="668"/>
      <c r="N2" s="436"/>
      <c r="O2" s="436"/>
      <c r="P2" s="436"/>
      <c r="Q2" s="436"/>
      <c r="R2" s="436"/>
      <c r="S2" s="436"/>
      <c r="T2" s="436"/>
      <c r="U2" s="436"/>
      <c r="V2" s="436"/>
      <c r="W2" s="436"/>
      <c r="X2" s="436"/>
      <c r="Y2" s="668"/>
      <c r="Z2" s="436"/>
    </row>
    <row r="3" spans="1:26" ht="18.75" customHeight="1" x14ac:dyDescent="0.25">
      <c r="A3" s="173" t="str">
        <f>"Tavola di coerenza tra presenti al 31.12."&amp;'t1'!L1&amp;" rilevati in Tabella 1 e 3 con i presenti rilevati in Tabella 10 (Squadratura 3)(*)"</f>
        <v>Tavola di coerenza tra presenti al 31.12.2023 rilevati in Tabella 1 e 3 con i presenti rilevati in Tabella 10 (Squadratura 3)(*)</v>
      </c>
      <c r="C3" s="3"/>
      <c r="D3" s="3"/>
      <c r="E3" s="3"/>
      <c r="F3" s="3"/>
      <c r="G3" s="3"/>
      <c r="H3" s="3"/>
      <c r="I3" s="3"/>
      <c r="J3" s="3"/>
      <c r="K3" s="3"/>
      <c r="L3" s="3"/>
      <c r="M3" s="3"/>
      <c r="N3" s="3"/>
      <c r="O3" s="3"/>
      <c r="P3" s="3"/>
      <c r="Q3" s="3"/>
      <c r="R3" s="3"/>
      <c r="S3" s="3"/>
      <c r="T3" s="3"/>
      <c r="U3" s="3"/>
      <c r="V3" s="3"/>
      <c r="W3" s="3"/>
      <c r="X3" s="3"/>
      <c r="Y3" s="3"/>
      <c r="Z3" s="3"/>
    </row>
    <row r="4" spans="1:26" ht="11.4" x14ac:dyDescent="0.2">
      <c r="A4" s="291" t="s">
        <v>211</v>
      </c>
      <c r="C4" s="3"/>
      <c r="D4" s="3"/>
      <c r="E4" s="3"/>
      <c r="F4" s="3"/>
      <c r="G4" s="3"/>
      <c r="H4" s="3"/>
      <c r="I4" s="3"/>
      <c r="J4" s="3"/>
      <c r="K4" s="3"/>
      <c r="L4" s="3"/>
      <c r="M4" s="3"/>
      <c r="N4" s="3"/>
      <c r="O4" s="3"/>
      <c r="P4" s="3"/>
      <c r="Q4" s="3"/>
      <c r="R4" s="3"/>
      <c r="S4" s="3"/>
      <c r="T4" s="3"/>
      <c r="U4" s="3"/>
      <c r="V4" s="3"/>
      <c r="W4" s="3"/>
      <c r="X4" s="3"/>
      <c r="Y4" s="3"/>
      <c r="Z4" s="3"/>
    </row>
    <row r="5" spans="1:26" ht="13.2" x14ac:dyDescent="0.25">
      <c r="A5" s="158"/>
      <c r="B5" s="92"/>
      <c r="C5" s="1591" t="s">
        <v>241</v>
      </c>
      <c r="D5" s="1592"/>
      <c r="E5" s="1592"/>
      <c r="F5" s="1592"/>
      <c r="G5" s="1592"/>
      <c r="H5" s="1592"/>
      <c r="I5" s="1592"/>
      <c r="J5" s="1592"/>
      <c r="K5" s="1592"/>
      <c r="L5" s="1592"/>
      <c r="M5" s="1592"/>
      <c r="N5" s="1592"/>
      <c r="O5" s="1591" t="s">
        <v>242</v>
      </c>
      <c r="P5" s="1592"/>
      <c r="Q5" s="1592"/>
      <c r="R5" s="1592"/>
      <c r="S5" s="1592"/>
      <c r="T5" s="1592"/>
      <c r="U5" s="1592"/>
      <c r="V5" s="1592"/>
      <c r="W5" s="1592"/>
      <c r="X5" s="1592"/>
      <c r="Y5" s="1592"/>
      <c r="Z5" s="1593"/>
    </row>
    <row r="6" spans="1:26" s="172" customFormat="1" ht="64.5" customHeight="1" x14ac:dyDescent="0.2">
      <c r="A6" s="161" t="s">
        <v>181</v>
      </c>
      <c r="B6" s="161" t="s">
        <v>180</v>
      </c>
      <c r="C6" s="161" t="str">
        <f>"Presenti 31.12."&amp;'t1'!L1&amp;" (Tab 1)"</f>
        <v>Presenti 31.12.2023 (Tab 1)</v>
      </c>
      <c r="D6" s="161" t="s">
        <v>194</v>
      </c>
      <c r="E6" s="161" t="s">
        <v>193</v>
      </c>
      <c r="F6" s="161" t="s">
        <v>300</v>
      </c>
      <c r="G6" s="161" t="s">
        <v>210</v>
      </c>
      <c r="H6" s="161" t="s">
        <v>195</v>
      </c>
      <c r="I6" s="161" t="s">
        <v>301</v>
      </c>
      <c r="J6" s="516" t="s">
        <v>728</v>
      </c>
      <c r="K6" s="161" t="s">
        <v>212</v>
      </c>
      <c r="L6" s="161" t="s">
        <v>213</v>
      </c>
      <c r="M6" s="516" t="s">
        <v>576</v>
      </c>
      <c r="N6" s="516" t="s">
        <v>577</v>
      </c>
      <c r="O6" s="161" t="str">
        <f>"Presenti 31.12."&amp;'t1'!L1&amp;" (Tab 1)"</f>
        <v>Presenti 31.12.2023 (Tab 1)</v>
      </c>
      <c r="P6" s="161" t="s">
        <v>194</v>
      </c>
      <c r="Q6" s="161" t="s">
        <v>193</v>
      </c>
      <c r="R6" s="161" t="s">
        <v>300</v>
      </c>
      <c r="S6" s="161" t="s">
        <v>210</v>
      </c>
      <c r="T6" s="161" t="s">
        <v>195</v>
      </c>
      <c r="U6" s="161" t="s">
        <v>301</v>
      </c>
      <c r="V6" s="516" t="s">
        <v>728</v>
      </c>
      <c r="W6" s="161" t="s">
        <v>212</v>
      </c>
      <c r="X6" s="161" t="s">
        <v>213</v>
      </c>
      <c r="Y6" s="516" t="s">
        <v>576</v>
      </c>
      <c r="Z6" s="516" t="s">
        <v>577</v>
      </c>
    </row>
    <row r="7" spans="1:26" s="170" customFormat="1" ht="20.399999999999999" x14ac:dyDescent="0.2">
      <c r="A7" s="169"/>
      <c r="B7" s="169"/>
      <c r="C7" s="166" t="s">
        <v>182</v>
      </c>
      <c r="D7" s="166" t="s">
        <v>183</v>
      </c>
      <c r="E7" s="166" t="s">
        <v>184</v>
      </c>
      <c r="F7" s="166" t="s">
        <v>185</v>
      </c>
      <c r="G7" s="167" t="s">
        <v>186</v>
      </c>
      <c r="H7" s="167" t="s">
        <v>206</v>
      </c>
      <c r="I7" s="167" t="s">
        <v>188</v>
      </c>
      <c r="J7" s="167" t="s">
        <v>197</v>
      </c>
      <c r="K7" s="167" t="s">
        <v>4</v>
      </c>
      <c r="L7" s="167" t="s">
        <v>5</v>
      </c>
      <c r="M7" s="167" t="s">
        <v>578</v>
      </c>
      <c r="N7" s="167" t="s">
        <v>6</v>
      </c>
      <c r="O7" s="166" t="s">
        <v>198</v>
      </c>
      <c r="P7" s="166" t="s">
        <v>199</v>
      </c>
      <c r="Q7" s="166" t="s">
        <v>200</v>
      </c>
      <c r="R7" s="166" t="s">
        <v>302</v>
      </c>
      <c r="S7" s="167" t="s">
        <v>201</v>
      </c>
      <c r="T7" s="167" t="s">
        <v>303</v>
      </c>
      <c r="U7" s="167" t="s">
        <v>304</v>
      </c>
      <c r="V7" s="167" t="s">
        <v>305</v>
      </c>
      <c r="W7" s="167" t="s">
        <v>7</v>
      </c>
      <c r="X7" s="167" t="s">
        <v>8</v>
      </c>
      <c r="Y7" s="167" t="s">
        <v>579</v>
      </c>
      <c r="Z7" s="167" t="s">
        <v>9</v>
      </c>
    </row>
    <row r="8" spans="1:26" ht="14.1" customHeight="1" x14ac:dyDescent="0.2">
      <c r="A8" s="118" t="str">
        <f>'t1'!A6</f>
        <v>DIRETTORE GENERALE</v>
      </c>
      <c r="B8" s="163" t="str">
        <f>'t1'!B6</f>
        <v>0D0097</v>
      </c>
      <c r="C8" s="312">
        <f>'t1'!K6</f>
        <v>0</v>
      </c>
      <c r="D8" s="312">
        <f>'t3'!K6</f>
        <v>0</v>
      </c>
      <c r="E8" s="313">
        <f>'t3'!M6</f>
        <v>0</v>
      </c>
      <c r="F8" s="313">
        <f>'t3'!O6</f>
        <v>0</v>
      </c>
      <c r="G8" s="313">
        <f>'t3'!C6</f>
        <v>0</v>
      </c>
      <c r="H8" s="313">
        <f>'t3'!E6</f>
        <v>0</v>
      </c>
      <c r="I8" s="313">
        <f>'t3'!G6</f>
        <v>0</v>
      </c>
      <c r="J8" s="313">
        <f>'t3'!I6</f>
        <v>0</v>
      </c>
      <c r="K8" s="313">
        <f>C8+D8+E8+F8-G8-H8-I8-J8</f>
        <v>0</v>
      </c>
      <c r="L8" s="313">
        <f>'t10'!AU6</f>
        <v>0</v>
      </c>
      <c r="M8" s="598" t="str">
        <f>IF(C8&lt;(G8+H8+I8+J8),"ERRORE","OK")</f>
        <v>OK</v>
      </c>
      <c r="N8" s="92" t="str">
        <f>IF(K8=L8,"OK","ERRORE")</f>
        <v>OK</v>
      </c>
      <c r="O8" s="312">
        <f>'t1'!L6</f>
        <v>0</v>
      </c>
      <c r="P8" s="312">
        <f>'t3'!L6</f>
        <v>0</v>
      </c>
      <c r="Q8" s="313">
        <f>'t3'!N6</f>
        <v>0</v>
      </c>
      <c r="R8" s="313">
        <f>'t3'!P6</f>
        <v>0</v>
      </c>
      <c r="S8" s="313">
        <f>'t3'!D6</f>
        <v>0</v>
      </c>
      <c r="T8" s="313">
        <f>'t3'!F6</f>
        <v>0</v>
      </c>
      <c r="U8" s="313">
        <f>'t3'!H6</f>
        <v>0</v>
      </c>
      <c r="V8" s="313">
        <f>'t3'!J6</f>
        <v>0</v>
      </c>
      <c r="W8" s="313">
        <f>O8+P8+Q8+R8-S8-T8-U8-V8</f>
        <v>0</v>
      </c>
      <c r="X8" s="313">
        <f>'t10'!AV6</f>
        <v>0</v>
      </c>
      <c r="Y8" s="598" t="str">
        <f>IF(O8&lt;(S8+T8+U8+V8),"ERRORE","OK")</f>
        <v>OK</v>
      </c>
      <c r="Z8" s="168" t="str">
        <f>IF(W8=X8,"OK","ERRORE")</f>
        <v>OK</v>
      </c>
    </row>
    <row r="9" spans="1:26" ht="14.1" customHeight="1" x14ac:dyDescent="0.2">
      <c r="A9" s="118" t="str">
        <f>'t1'!A7</f>
        <v>DIRIGENTE I FASCIA</v>
      </c>
      <c r="B9" s="163" t="str">
        <f>'t1'!B7</f>
        <v>0D0077</v>
      </c>
      <c r="C9" s="312">
        <f>'t1'!K7</f>
        <v>0</v>
      </c>
      <c r="D9" s="312">
        <f>'t3'!K7</f>
        <v>0</v>
      </c>
      <c r="E9" s="313">
        <f>'t3'!M7</f>
        <v>0</v>
      </c>
      <c r="F9" s="313">
        <f>'t3'!O7</f>
        <v>0</v>
      </c>
      <c r="G9" s="313">
        <f>'t3'!C7</f>
        <v>0</v>
      </c>
      <c r="H9" s="313">
        <f>'t3'!E7</f>
        <v>0</v>
      </c>
      <c r="I9" s="313">
        <f>'t3'!G7</f>
        <v>0</v>
      </c>
      <c r="J9" s="313">
        <f>'t3'!I7</f>
        <v>0</v>
      </c>
      <c r="K9" s="313">
        <f>C9+D9+E9+F9-G9-H9-I9-J9</f>
        <v>0</v>
      </c>
      <c r="L9" s="313">
        <f>'t10'!AU7</f>
        <v>0</v>
      </c>
      <c r="M9" s="598" t="str">
        <f>IF(C9&lt;(G9+H9+I9+J9),"ERRORE","OK")</f>
        <v>OK</v>
      </c>
      <c r="N9" s="92" t="str">
        <f>IF(K9=L9,"OK","ERRORE")</f>
        <v>OK</v>
      </c>
      <c r="O9" s="312">
        <f>'t1'!L7</f>
        <v>0</v>
      </c>
      <c r="P9" s="312">
        <f>'t3'!L7</f>
        <v>0</v>
      </c>
      <c r="Q9" s="313">
        <f>'t3'!N7</f>
        <v>0</v>
      </c>
      <c r="R9" s="313">
        <f>'t3'!P7</f>
        <v>0</v>
      </c>
      <c r="S9" s="313">
        <f>'t3'!D7</f>
        <v>0</v>
      </c>
      <c r="T9" s="313">
        <f>'t3'!F7</f>
        <v>0</v>
      </c>
      <c r="U9" s="313">
        <f>'t3'!H7</f>
        <v>0</v>
      </c>
      <c r="V9" s="313">
        <f>'t3'!J7</f>
        <v>0</v>
      </c>
      <c r="W9" s="313">
        <f>O9+P9+Q9+R9-S9-T9-U9-V9</f>
        <v>0</v>
      </c>
      <c r="X9" s="313">
        <f>'t10'!AV7</f>
        <v>0</v>
      </c>
      <c r="Y9" s="598" t="str">
        <f>IF(O9&lt;(S9+T9+U9+V9),"ERRORE","OK")</f>
        <v>OK</v>
      </c>
      <c r="Z9" s="168" t="str">
        <f>IF(W9=X9,"OK","ERRORE")</f>
        <v>OK</v>
      </c>
    </row>
    <row r="10" spans="1:26" ht="14.1" customHeight="1" x14ac:dyDescent="0.2">
      <c r="A10" s="118" t="str">
        <f>'t1'!A8</f>
        <v>DIRIGENTE I FASCIA A TEMPO DETERM.</v>
      </c>
      <c r="B10" s="163" t="str">
        <f>'t1'!B8</f>
        <v>0D0078</v>
      </c>
      <c r="C10" s="312">
        <f>'t1'!K8</f>
        <v>0</v>
      </c>
      <c r="D10" s="312">
        <f>'t3'!K8</f>
        <v>0</v>
      </c>
      <c r="E10" s="313">
        <f>'t3'!M8</f>
        <v>0</v>
      </c>
      <c r="F10" s="313">
        <f>'t3'!O8</f>
        <v>0</v>
      </c>
      <c r="G10" s="313">
        <f>'t3'!C8</f>
        <v>0</v>
      </c>
      <c r="H10" s="313">
        <f>'t3'!E8</f>
        <v>0</v>
      </c>
      <c r="I10" s="313">
        <f>'t3'!G8</f>
        <v>0</v>
      </c>
      <c r="J10" s="313">
        <f>'t3'!I8</f>
        <v>0</v>
      </c>
      <c r="K10" s="313">
        <f>C10+D10+E10+F10-G10-H10-I10-J10</f>
        <v>0</v>
      </c>
      <c r="L10" s="313">
        <f>'t10'!AU8</f>
        <v>0</v>
      </c>
      <c r="M10" s="598" t="str">
        <f>IF(C10&lt;(G10+H10+I10+J10),"ERRORE","OK")</f>
        <v>OK</v>
      </c>
      <c r="N10" s="92" t="str">
        <f>IF(K10=L10,"OK","ERRORE")</f>
        <v>OK</v>
      </c>
      <c r="O10" s="312">
        <f>'t1'!L8</f>
        <v>0</v>
      </c>
      <c r="P10" s="312">
        <f>'t3'!L8</f>
        <v>0</v>
      </c>
      <c r="Q10" s="313">
        <f>'t3'!N8</f>
        <v>0</v>
      </c>
      <c r="R10" s="313">
        <f>'t3'!P8</f>
        <v>0</v>
      </c>
      <c r="S10" s="313">
        <f>'t3'!D8</f>
        <v>0</v>
      </c>
      <c r="T10" s="313">
        <f>'t3'!F8</f>
        <v>0</v>
      </c>
      <c r="U10" s="313">
        <f>'t3'!H8</f>
        <v>0</v>
      </c>
      <c r="V10" s="313">
        <f>'t3'!J8</f>
        <v>0</v>
      </c>
      <c r="W10" s="313">
        <f>O10+P10+Q10+R10-S10-T10-U10-V10</f>
        <v>0</v>
      </c>
      <c r="X10" s="313">
        <f>'t10'!AV8</f>
        <v>0</v>
      </c>
      <c r="Y10" s="598" t="str">
        <f>IF(O10&lt;(S10+T10+U10+V10),"ERRORE","OK")</f>
        <v>OK</v>
      </c>
      <c r="Z10" s="168" t="str">
        <f>IF(W10=X10,"OK","ERRORE")</f>
        <v>OK</v>
      </c>
    </row>
    <row r="11" spans="1:26" ht="14.1" customHeight="1" x14ac:dyDescent="0.2">
      <c r="A11" s="118" t="str">
        <f>'t1'!A9</f>
        <v>DIRIGENTE II FASCIA</v>
      </c>
      <c r="B11" s="163" t="str">
        <f>'t1'!B9</f>
        <v>0D0079</v>
      </c>
      <c r="C11" s="312">
        <f>'t1'!K9</f>
        <v>0</v>
      </c>
      <c r="D11" s="312">
        <f>'t3'!K9</f>
        <v>0</v>
      </c>
      <c r="E11" s="313">
        <f>'t3'!M9</f>
        <v>0</v>
      </c>
      <c r="F11" s="313">
        <f>'t3'!O9</f>
        <v>0</v>
      </c>
      <c r="G11" s="313">
        <f>'t3'!C9</f>
        <v>0</v>
      </c>
      <c r="H11" s="313">
        <f>'t3'!E9</f>
        <v>0</v>
      </c>
      <c r="I11" s="313">
        <f>'t3'!G9</f>
        <v>0</v>
      </c>
      <c r="J11" s="313">
        <f>'t3'!I9</f>
        <v>0</v>
      </c>
      <c r="K11" s="313">
        <f t="shared" ref="K11:K27" si="0">C11+D11+E11+F11-G11-H11-I11-J11</f>
        <v>0</v>
      </c>
      <c r="L11" s="313">
        <f>'t10'!AU9</f>
        <v>0</v>
      </c>
      <c r="M11" s="598" t="str">
        <f t="shared" ref="M11:M27" si="1">IF(C11&lt;(G11+H11+I11+J11),"ERRORE","OK")</f>
        <v>OK</v>
      </c>
      <c r="N11" s="92" t="str">
        <f t="shared" ref="N11:N27" si="2">IF(K11=L11,"OK","ERRORE")</f>
        <v>OK</v>
      </c>
      <c r="O11" s="312">
        <f>'t1'!L9</f>
        <v>0</v>
      </c>
      <c r="P11" s="312">
        <f>'t3'!L9</f>
        <v>0</v>
      </c>
      <c r="Q11" s="313">
        <f>'t3'!N9</f>
        <v>0</v>
      </c>
      <c r="R11" s="313">
        <f>'t3'!P9</f>
        <v>0</v>
      </c>
      <c r="S11" s="313">
        <f>'t3'!D9</f>
        <v>0</v>
      </c>
      <c r="T11" s="313">
        <f>'t3'!F9</f>
        <v>0</v>
      </c>
      <c r="U11" s="313">
        <f>'t3'!H9</f>
        <v>0</v>
      </c>
      <c r="V11" s="313">
        <f>'t3'!J9</f>
        <v>0</v>
      </c>
      <c r="W11" s="313">
        <f t="shared" ref="W11:W27" si="3">O11+P11+Q11+R11-S11-T11-U11-V11</f>
        <v>0</v>
      </c>
      <c r="X11" s="313">
        <f>'t10'!AV9</f>
        <v>0</v>
      </c>
      <c r="Y11" s="598" t="str">
        <f t="shared" ref="Y11:Y27" si="4">IF(O11&lt;(S11+T11+U11+V11),"ERRORE","OK")</f>
        <v>OK</v>
      </c>
      <c r="Z11" s="168" t="str">
        <f t="shared" ref="Z11:Z27" si="5">IF(W11=X11,"OK","ERRORE")</f>
        <v>OK</v>
      </c>
    </row>
    <row r="12" spans="1:26" ht="14.1" customHeight="1" x14ac:dyDescent="0.2">
      <c r="A12" s="118" t="str">
        <f>'t1'!A10</f>
        <v>DIRIGENTE II FASCIA A TEMPO DETERM.</v>
      </c>
      <c r="B12" s="163" t="str">
        <f>'t1'!B10</f>
        <v>0D0080</v>
      </c>
      <c r="C12" s="312">
        <f>'t1'!K10</f>
        <v>0</v>
      </c>
      <c r="D12" s="312">
        <f>'t3'!K10</f>
        <v>0</v>
      </c>
      <c r="E12" s="313">
        <f>'t3'!M10</f>
        <v>0</v>
      </c>
      <c r="F12" s="313">
        <f>'t3'!O10</f>
        <v>0</v>
      </c>
      <c r="G12" s="313">
        <f>'t3'!C10</f>
        <v>0</v>
      </c>
      <c r="H12" s="313">
        <f>'t3'!E10</f>
        <v>0</v>
      </c>
      <c r="I12" s="313">
        <f>'t3'!G10</f>
        <v>0</v>
      </c>
      <c r="J12" s="313">
        <f>'t3'!I10</f>
        <v>0</v>
      </c>
      <c r="K12" s="313">
        <f t="shared" si="0"/>
        <v>0</v>
      </c>
      <c r="L12" s="313">
        <f>'t10'!AU10</f>
        <v>0</v>
      </c>
      <c r="M12" s="598" t="str">
        <f t="shared" si="1"/>
        <v>OK</v>
      </c>
      <c r="N12" s="92" t="str">
        <f t="shared" si="2"/>
        <v>OK</v>
      </c>
      <c r="O12" s="312">
        <f>'t1'!L10</f>
        <v>0</v>
      </c>
      <c r="P12" s="312">
        <f>'t3'!L10</f>
        <v>0</v>
      </c>
      <c r="Q12" s="313">
        <f>'t3'!N10</f>
        <v>0</v>
      </c>
      <c r="R12" s="313">
        <f>'t3'!P10</f>
        <v>0</v>
      </c>
      <c r="S12" s="313">
        <f>'t3'!D10</f>
        <v>0</v>
      </c>
      <c r="T12" s="313">
        <f>'t3'!F10</f>
        <v>0</v>
      </c>
      <c r="U12" s="313">
        <f>'t3'!H10</f>
        <v>0</v>
      </c>
      <c r="V12" s="313">
        <f>'t3'!J10</f>
        <v>0</v>
      </c>
      <c r="W12" s="313">
        <f t="shared" si="3"/>
        <v>0</v>
      </c>
      <c r="X12" s="313">
        <f>'t10'!AV10</f>
        <v>0</v>
      </c>
      <c r="Y12" s="598" t="str">
        <f t="shared" si="4"/>
        <v>OK</v>
      </c>
      <c r="Z12" s="168" t="str">
        <f t="shared" si="5"/>
        <v>OK</v>
      </c>
    </row>
    <row r="13" spans="1:26" ht="14.1" customHeight="1" x14ac:dyDescent="0.2">
      <c r="A13" s="118" t="str">
        <f>'t1'!A11</f>
        <v>MEDICO II FASCIA T.P.</v>
      </c>
      <c r="B13" s="163" t="str">
        <f>'t1'!B11</f>
        <v>0D0584</v>
      </c>
      <c r="C13" s="312">
        <f>'t1'!K11</f>
        <v>0</v>
      </c>
      <c r="D13" s="312">
        <f>'t3'!K11</f>
        <v>0</v>
      </c>
      <c r="E13" s="313">
        <f>'t3'!M11</f>
        <v>0</v>
      </c>
      <c r="F13" s="313">
        <f>'t3'!O11</f>
        <v>0</v>
      </c>
      <c r="G13" s="313">
        <f>'t3'!C11</f>
        <v>0</v>
      </c>
      <c r="H13" s="313">
        <f>'t3'!E11</f>
        <v>0</v>
      </c>
      <c r="I13" s="313">
        <f>'t3'!G11</f>
        <v>0</v>
      </c>
      <c r="J13" s="313">
        <f>'t3'!I11</f>
        <v>0</v>
      </c>
      <c r="K13" s="313">
        <f t="shared" si="0"/>
        <v>0</v>
      </c>
      <c r="L13" s="313">
        <f>'t10'!AU11</f>
        <v>0</v>
      </c>
      <c r="M13" s="598" t="str">
        <f t="shared" si="1"/>
        <v>OK</v>
      </c>
      <c r="N13" s="92" t="str">
        <f t="shared" si="2"/>
        <v>OK</v>
      </c>
      <c r="O13" s="312">
        <f>'t1'!L11</f>
        <v>0</v>
      </c>
      <c r="P13" s="312">
        <f>'t3'!L11</f>
        <v>0</v>
      </c>
      <c r="Q13" s="313">
        <f>'t3'!N11</f>
        <v>0</v>
      </c>
      <c r="R13" s="313">
        <f>'t3'!P11</f>
        <v>0</v>
      </c>
      <c r="S13" s="313">
        <f>'t3'!D11</f>
        <v>0</v>
      </c>
      <c r="T13" s="313">
        <f>'t3'!F11</f>
        <v>0</v>
      </c>
      <c r="U13" s="313">
        <f>'t3'!H11</f>
        <v>0</v>
      </c>
      <c r="V13" s="313">
        <f>'t3'!J11</f>
        <v>0</v>
      </c>
      <c r="W13" s="313">
        <f t="shared" si="3"/>
        <v>0</v>
      </c>
      <c r="X13" s="313">
        <f>'t10'!AV11</f>
        <v>0</v>
      </c>
      <c r="Y13" s="598" t="str">
        <f t="shared" si="4"/>
        <v>OK</v>
      </c>
      <c r="Z13" s="168" t="str">
        <f t="shared" si="5"/>
        <v>OK</v>
      </c>
    </row>
    <row r="14" spans="1:26" ht="14.1" customHeight="1" x14ac:dyDescent="0.2">
      <c r="A14" s="118" t="str">
        <f>'t1'!A12</f>
        <v>MEDICO I FASCIA T.P.</v>
      </c>
      <c r="B14" s="163" t="str">
        <f>'t1'!B12</f>
        <v>0D0585</v>
      </c>
      <c r="C14" s="312">
        <f>'t1'!K12</f>
        <v>0</v>
      </c>
      <c r="D14" s="312">
        <f>'t3'!K12</f>
        <v>0</v>
      </c>
      <c r="E14" s="313">
        <f>'t3'!M12</f>
        <v>0</v>
      </c>
      <c r="F14" s="313">
        <f>'t3'!O12</f>
        <v>0</v>
      </c>
      <c r="G14" s="313">
        <f>'t3'!C12</f>
        <v>0</v>
      </c>
      <c r="H14" s="313">
        <f>'t3'!E12</f>
        <v>0</v>
      </c>
      <c r="I14" s="313">
        <f>'t3'!G12</f>
        <v>0</v>
      </c>
      <c r="J14" s="313">
        <f>'t3'!I12</f>
        <v>0</v>
      </c>
      <c r="K14" s="313">
        <f t="shared" si="0"/>
        <v>0</v>
      </c>
      <c r="L14" s="313">
        <f>'t10'!AU12</f>
        <v>0</v>
      </c>
      <c r="M14" s="598" t="str">
        <f t="shared" si="1"/>
        <v>OK</v>
      </c>
      <c r="N14" s="92" t="str">
        <f t="shared" si="2"/>
        <v>OK</v>
      </c>
      <c r="O14" s="312">
        <f>'t1'!L12</f>
        <v>0</v>
      </c>
      <c r="P14" s="312">
        <f>'t3'!L12</f>
        <v>0</v>
      </c>
      <c r="Q14" s="313">
        <f>'t3'!N12</f>
        <v>0</v>
      </c>
      <c r="R14" s="313">
        <f>'t3'!P12</f>
        <v>0</v>
      </c>
      <c r="S14" s="313">
        <f>'t3'!D12</f>
        <v>0</v>
      </c>
      <c r="T14" s="313">
        <f>'t3'!F12</f>
        <v>0</v>
      </c>
      <c r="U14" s="313">
        <f>'t3'!H12</f>
        <v>0</v>
      </c>
      <c r="V14" s="313">
        <f>'t3'!J12</f>
        <v>0</v>
      </c>
      <c r="W14" s="313">
        <f t="shared" si="3"/>
        <v>0</v>
      </c>
      <c r="X14" s="313">
        <f>'t10'!AV12</f>
        <v>0</v>
      </c>
      <c r="Y14" s="598" t="str">
        <f t="shared" si="4"/>
        <v>OK</v>
      </c>
      <c r="Z14" s="168" t="str">
        <f t="shared" si="5"/>
        <v>OK</v>
      </c>
    </row>
    <row r="15" spans="1:26" ht="14.1" customHeight="1" x14ac:dyDescent="0.2">
      <c r="A15" s="118" t="str">
        <f>'t1'!A13</f>
        <v>MEDICO II FASCIA T.D.</v>
      </c>
      <c r="B15" s="163" t="str">
        <f>'t1'!B13</f>
        <v>0D0586</v>
      </c>
      <c r="C15" s="312">
        <f>'t1'!K13</f>
        <v>0</v>
      </c>
      <c r="D15" s="312">
        <f>'t3'!K13</f>
        <v>0</v>
      </c>
      <c r="E15" s="313">
        <f>'t3'!M13</f>
        <v>0</v>
      </c>
      <c r="F15" s="313">
        <f>'t3'!O13</f>
        <v>0</v>
      </c>
      <c r="G15" s="313">
        <f>'t3'!C13</f>
        <v>0</v>
      </c>
      <c r="H15" s="313">
        <f>'t3'!E13</f>
        <v>0</v>
      </c>
      <c r="I15" s="313">
        <f>'t3'!G13</f>
        <v>0</v>
      </c>
      <c r="J15" s="313">
        <f>'t3'!I13</f>
        <v>0</v>
      </c>
      <c r="K15" s="313">
        <f t="shared" si="0"/>
        <v>0</v>
      </c>
      <c r="L15" s="313">
        <f>'t10'!AU13</f>
        <v>0</v>
      </c>
      <c r="M15" s="598" t="str">
        <f t="shared" si="1"/>
        <v>OK</v>
      </c>
      <c r="N15" s="92" t="str">
        <f t="shared" si="2"/>
        <v>OK</v>
      </c>
      <c r="O15" s="312">
        <f>'t1'!L13</f>
        <v>0</v>
      </c>
      <c r="P15" s="312">
        <f>'t3'!L13</f>
        <v>0</v>
      </c>
      <c r="Q15" s="313">
        <f>'t3'!N13</f>
        <v>0</v>
      </c>
      <c r="R15" s="313">
        <f>'t3'!P13</f>
        <v>0</v>
      </c>
      <c r="S15" s="313">
        <f>'t3'!D13</f>
        <v>0</v>
      </c>
      <c r="T15" s="313">
        <f>'t3'!F13</f>
        <v>0</v>
      </c>
      <c r="U15" s="313">
        <f>'t3'!H13</f>
        <v>0</v>
      </c>
      <c r="V15" s="313">
        <f>'t3'!J13</f>
        <v>0</v>
      </c>
      <c r="W15" s="313">
        <f t="shared" si="3"/>
        <v>0</v>
      </c>
      <c r="X15" s="313">
        <f>'t10'!AV13</f>
        <v>0</v>
      </c>
      <c r="Y15" s="598" t="str">
        <f t="shared" si="4"/>
        <v>OK</v>
      </c>
      <c r="Z15" s="168" t="str">
        <f t="shared" si="5"/>
        <v>OK</v>
      </c>
    </row>
    <row r="16" spans="1:26" ht="14.1" customHeight="1" x14ac:dyDescent="0.2">
      <c r="A16" s="118" t="str">
        <f>'t1'!A14</f>
        <v>MEDICO I FASCIA T.D.</v>
      </c>
      <c r="B16" s="163" t="str">
        <f>'t1'!B14</f>
        <v>0D0496</v>
      </c>
      <c r="C16" s="312">
        <f>'t1'!K14</f>
        <v>0</v>
      </c>
      <c r="D16" s="312">
        <f>'t3'!K14</f>
        <v>0</v>
      </c>
      <c r="E16" s="313">
        <f>'t3'!M14</f>
        <v>0</v>
      </c>
      <c r="F16" s="313">
        <f>'t3'!O14</f>
        <v>0</v>
      </c>
      <c r="G16" s="313">
        <f>'t3'!C14</f>
        <v>0</v>
      </c>
      <c r="H16" s="313">
        <f>'t3'!E14</f>
        <v>0</v>
      </c>
      <c r="I16" s="313">
        <f>'t3'!G14</f>
        <v>0</v>
      </c>
      <c r="J16" s="313">
        <f>'t3'!I14</f>
        <v>0</v>
      </c>
      <c r="K16" s="313">
        <f t="shared" si="0"/>
        <v>0</v>
      </c>
      <c r="L16" s="313">
        <f>'t10'!AU14</f>
        <v>0</v>
      </c>
      <c r="M16" s="598" t="str">
        <f t="shared" si="1"/>
        <v>OK</v>
      </c>
      <c r="N16" s="92" t="str">
        <f t="shared" si="2"/>
        <v>OK</v>
      </c>
      <c r="O16" s="312">
        <f>'t1'!L14</f>
        <v>0</v>
      </c>
      <c r="P16" s="312">
        <f>'t3'!L14</f>
        <v>0</v>
      </c>
      <c r="Q16" s="313">
        <f>'t3'!N14</f>
        <v>0</v>
      </c>
      <c r="R16" s="313">
        <f>'t3'!P14</f>
        <v>0</v>
      </c>
      <c r="S16" s="313">
        <f>'t3'!D14</f>
        <v>0</v>
      </c>
      <c r="T16" s="313">
        <f>'t3'!F14</f>
        <v>0</v>
      </c>
      <c r="U16" s="313">
        <f>'t3'!H14</f>
        <v>0</v>
      </c>
      <c r="V16" s="313">
        <f>'t3'!J14</f>
        <v>0</v>
      </c>
      <c r="W16" s="313">
        <f t="shared" si="3"/>
        <v>0</v>
      </c>
      <c r="X16" s="313">
        <f>'t10'!AV14</f>
        <v>0</v>
      </c>
      <c r="Y16" s="598" t="str">
        <f t="shared" si="4"/>
        <v>OK</v>
      </c>
      <c r="Z16" s="168" t="str">
        <f t="shared" si="5"/>
        <v>OK</v>
      </c>
    </row>
    <row r="17" spans="1:26" ht="14.1" customHeight="1" x14ac:dyDescent="0.2">
      <c r="A17" s="118" t="str">
        <f>'t1'!A15</f>
        <v>PROF.STI LEGALI LIV. II DIFF.</v>
      </c>
      <c r="B17" s="163" t="str">
        <f>'t1'!B15</f>
        <v>0D0473</v>
      </c>
      <c r="C17" s="312">
        <f>'t1'!K15</f>
        <v>0</v>
      </c>
      <c r="D17" s="312">
        <f>'t3'!K15</f>
        <v>0</v>
      </c>
      <c r="E17" s="313">
        <f>'t3'!M15</f>
        <v>0</v>
      </c>
      <c r="F17" s="313">
        <f>'t3'!O15</f>
        <v>0</v>
      </c>
      <c r="G17" s="313">
        <f>'t3'!C15</f>
        <v>0</v>
      </c>
      <c r="H17" s="313">
        <f>'t3'!E15</f>
        <v>0</v>
      </c>
      <c r="I17" s="313">
        <f>'t3'!G15</f>
        <v>0</v>
      </c>
      <c r="J17" s="313">
        <f>'t3'!I15</f>
        <v>0</v>
      </c>
      <c r="K17" s="313">
        <f t="shared" si="0"/>
        <v>0</v>
      </c>
      <c r="L17" s="313">
        <f>'t10'!AU15</f>
        <v>0</v>
      </c>
      <c r="M17" s="598" t="str">
        <f t="shared" si="1"/>
        <v>OK</v>
      </c>
      <c r="N17" s="92" t="str">
        <f t="shared" si="2"/>
        <v>OK</v>
      </c>
      <c r="O17" s="312">
        <f>'t1'!L15</f>
        <v>0</v>
      </c>
      <c r="P17" s="312">
        <f>'t3'!L15</f>
        <v>0</v>
      </c>
      <c r="Q17" s="313">
        <f>'t3'!N15</f>
        <v>0</v>
      </c>
      <c r="R17" s="313">
        <f>'t3'!P15</f>
        <v>0</v>
      </c>
      <c r="S17" s="313">
        <f>'t3'!D15</f>
        <v>0</v>
      </c>
      <c r="T17" s="313">
        <f>'t3'!F15</f>
        <v>0</v>
      </c>
      <c r="U17" s="313">
        <f>'t3'!H15</f>
        <v>0</v>
      </c>
      <c r="V17" s="313">
        <f>'t3'!J15</f>
        <v>0</v>
      </c>
      <c r="W17" s="313">
        <f t="shared" si="3"/>
        <v>0</v>
      </c>
      <c r="X17" s="313">
        <f>'t10'!AV15</f>
        <v>0</v>
      </c>
      <c r="Y17" s="598" t="str">
        <f t="shared" si="4"/>
        <v>OK</v>
      </c>
      <c r="Z17" s="168" t="str">
        <f t="shared" si="5"/>
        <v>OK</v>
      </c>
    </row>
    <row r="18" spans="1:26" ht="14.1" customHeight="1" x14ac:dyDescent="0.2">
      <c r="A18" s="118" t="str">
        <f>'t1'!A16</f>
        <v>PROF.STI LEGALI LIV. I DIFF.</v>
      </c>
      <c r="B18" s="163" t="str">
        <f>'t1'!B16</f>
        <v>0D0472</v>
      </c>
      <c r="C18" s="312">
        <f>'t1'!K16</f>
        <v>0</v>
      </c>
      <c r="D18" s="312">
        <f>'t3'!K16</f>
        <v>0</v>
      </c>
      <c r="E18" s="313">
        <f>'t3'!M16</f>
        <v>0</v>
      </c>
      <c r="F18" s="313">
        <f>'t3'!O16</f>
        <v>0</v>
      </c>
      <c r="G18" s="313">
        <f>'t3'!C16</f>
        <v>0</v>
      </c>
      <c r="H18" s="313">
        <f>'t3'!E16</f>
        <v>0</v>
      </c>
      <c r="I18" s="313">
        <f>'t3'!G16</f>
        <v>0</v>
      </c>
      <c r="J18" s="313">
        <f>'t3'!I16</f>
        <v>0</v>
      </c>
      <c r="K18" s="313">
        <f t="shared" si="0"/>
        <v>0</v>
      </c>
      <c r="L18" s="313">
        <f>'t10'!AU16</f>
        <v>0</v>
      </c>
      <c r="M18" s="598" t="str">
        <f t="shared" si="1"/>
        <v>OK</v>
      </c>
      <c r="N18" s="92" t="str">
        <f t="shared" si="2"/>
        <v>OK</v>
      </c>
      <c r="O18" s="312">
        <f>'t1'!L16</f>
        <v>0</v>
      </c>
      <c r="P18" s="312">
        <f>'t3'!L16</f>
        <v>0</v>
      </c>
      <c r="Q18" s="313">
        <f>'t3'!N16</f>
        <v>0</v>
      </c>
      <c r="R18" s="313">
        <f>'t3'!P16</f>
        <v>0</v>
      </c>
      <c r="S18" s="313">
        <f>'t3'!D16</f>
        <v>0</v>
      </c>
      <c r="T18" s="313">
        <f>'t3'!F16</f>
        <v>0</v>
      </c>
      <c r="U18" s="313">
        <f>'t3'!H16</f>
        <v>0</v>
      </c>
      <c r="V18" s="313">
        <f>'t3'!J16</f>
        <v>0</v>
      </c>
      <c r="W18" s="313">
        <f t="shared" si="3"/>
        <v>0</v>
      </c>
      <c r="X18" s="313">
        <f>'t10'!AV16</f>
        <v>0</v>
      </c>
      <c r="Y18" s="598" t="str">
        <f t="shared" si="4"/>
        <v>OK</v>
      </c>
      <c r="Z18" s="168" t="str">
        <f t="shared" si="5"/>
        <v>OK</v>
      </c>
    </row>
    <row r="19" spans="1:26" ht="14.1" customHeight="1" x14ac:dyDescent="0.2">
      <c r="A19" s="118" t="str">
        <f>'t1'!A17</f>
        <v>PROF.STI LEGALI</v>
      </c>
      <c r="B19" s="163" t="str">
        <f>'t1'!B17</f>
        <v>0D0084</v>
      </c>
      <c r="C19" s="312">
        <f>'t1'!K17</f>
        <v>0</v>
      </c>
      <c r="D19" s="312">
        <f>'t3'!K17</f>
        <v>0</v>
      </c>
      <c r="E19" s="313">
        <f>'t3'!M17</f>
        <v>0</v>
      </c>
      <c r="F19" s="313">
        <f>'t3'!O17</f>
        <v>0</v>
      </c>
      <c r="G19" s="313">
        <f>'t3'!C17</f>
        <v>0</v>
      </c>
      <c r="H19" s="313">
        <f>'t3'!E17</f>
        <v>0</v>
      </c>
      <c r="I19" s="313">
        <f>'t3'!G17</f>
        <v>0</v>
      </c>
      <c r="J19" s="313">
        <f>'t3'!I17</f>
        <v>0</v>
      </c>
      <c r="K19" s="313">
        <f t="shared" si="0"/>
        <v>0</v>
      </c>
      <c r="L19" s="313">
        <f>'t10'!AU17</f>
        <v>0</v>
      </c>
      <c r="M19" s="598" t="str">
        <f t="shared" si="1"/>
        <v>OK</v>
      </c>
      <c r="N19" s="92" t="str">
        <f t="shared" si="2"/>
        <v>OK</v>
      </c>
      <c r="O19" s="312">
        <f>'t1'!L17</f>
        <v>0</v>
      </c>
      <c r="P19" s="312">
        <f>'t3'!L17</f>
        <v>0</v>
      </c>
      <c r="Q19" s="313">
        <f>'t3'!N17</f>
        <v>0</v>
      </c>
      <c r="R19" s="313">
        <f>'t3'!P17</f>
        <v>0</v>
      </c>
      <c r="S19" s="313">
        <f>'t3'!D17</f>
        <v>0</v>
      </c>
      <c r="T19" s="313">
        <f>'t3'!F17</f>
        <v>0</v>
      </c>
      <c r="U19" s="313">
        <f>'t3'!H17</f>
        <v>0</v>
      </c>
      <c r="V19" s="313">
        <f>'t3'!J17</f>
        <v>0</v>
      </c>
      <c r="W19" s="313">
        <f t="shared" si="3"/>
        <v>0</v>
      </c>
      <c r="X19" s="313">
        <f>'t10'!AV17</f>
        <v>0</v>
      </c>
      <c r="Y19" s="598" t="str">
        <f t="shared" si="4"/>
        <v>OK</v>
      </c>
      <c r="Z19" s="168" t="str">
        <f t="shared" si="5"/>
        <v>OK</v>
      </c>
    </row>
    <row r="20" spans="1:26" ht="14.1" customHeight="1" x14ac:dyDescent="0.2">
      <c r="A20" s="118" t="str">
        <f>'t1'!A18</f>
        <v>ALTRI PROF.STI LIV. II DIFF.</v>
      </c>
      <c r="B20" s="163" t="str">
        <f>'t1'!B18</f>
        <v>0D0481</v>
      </c>
      <c r="C20" s="312">
        <f>'t1'!K18</f>
        <v>0</v>
      </c>
      <c r="D20" s="312">
        <f>'t3'!K18</f>
        <v>0</v>
      </c>
      <c r="E20" s="313">
        <f>'t3'!M18</f>
        <v>0</v>
      </c>
      <c r="F20" s="313">
        <f>'t3'!O18</f>
        <v>0</v>
      </c>
      <c r="G20" s="313">
        <f>'t3'!C18</f>
        <v>0</v>
      </c>
      <c r="H20" s="313">
        <f>'t3'!E18</f>
        <v>0</v>
      </c>
      <c r="I20" s="313">
        <f>'t3'!G18</f>
        <v>0</v>
      </c>
      <c r="J20" s="313">
        <f>'t3'!I18</f>
        <v>0</v>
      </c>
      <c r="K20" s="313">
        <f t="shared" si="0"/>
        <v>0</v>
      </c>
      <c r="L20" s="313">
        <f>'t10'!AU18</f>
        <v>0</v>
      </c>
      <c r="M20" s="598" t="str">
        <f t="shared" si="1"/>
        <v>OK</v>
      </c>
      <c r="N20" s="92" t="str">
        <f t="shared" si="2"/>
        <v>OK</v>
      </c>
      <c r="O20" s="312">
        <f>'t1'!L18</f>
        <v>0</v>
      </c>
      <c r="P20" s="312">
        <f>'t3'!L18</f>
        <v>0</v>
      </c>
      <c r="Q20" s="313">
        <f>'t3'!N18</f>
        <v>0</v>
      </c>
      <c r="R20" s="313">
        <f>'t3'!P18</f>
        <v>0</v>
      </c>
      <c r="S20" s="313">
        <f>'t3'!D18</f>
        <v>0</v>
      </c>
      <c r="T20" s="313">
        <f>'t3'!F18</f>
        <v>0</v>
      </c>
      <c r="U20" s="313">
        <f>'t3'!H18</f>
        <v>0</v>
      </c>
      <c r="V20" s="313">
        <f>'t3'!J18</f>
        <v>0</v>
      </c>
      <c r="W20" s="313">
        <f t="shared" si="3"/>
        <v>0</v>
      </c>
      <c r="X20" s="313">
        <f>'t10'!AV18</f>
        <v>0</v>
      </c>
      <c r="Y20" s="598" t="str">
        <f t="shared" si="4"/>
        <v>OK</v>
      </c>
      <c r="Z20" s="168" t="str">
        <f t="shared" si="5"/>
        <v>OK</v>
      </c>
    </row>
    <row r="21" spans="1:26" ht="14.1" customHeight="1" x14ac:dyDescent="0.2">
      <c r="A21" s="118" t="str">
        <f>'t1'!A19</f>
        <v>ALTRI PROF.STI LIV. I DIFF.</v>
      </c>
      <c r="B21" s="163" t="str">
        <f>'t1'!B19</f>
        <v>0D0480</v>
      </c>
      <c r="C21" s="312">
        <f>'t1'!K19</f>
        <v>0</v>
      </c>
      <c r="D21" s="312">
        <f>'t3'!K19</f>
        <v>0</v>
      </c>
      <c r="E21" s="313">
        <f>'t3'!M19</f>
        <v>0</v>
      </c>
      <c r="F21" s="313">
        <f>'t3'!O19</f>
        <v>0</v>
      </c>
      <c r="G21" s="313">
        <f>'t3'!C19</f>
        <v>0</v>
      </c>
      <c r="H21" s="313">
        <f>'t3'!E19</f>
        <v>0</v>
      </c>
      <c r="I21" s="313">
        <f>'t3'!G19</f>
        <v>0</v>
      </c>
      <c r="J21" s="313">
        <f>'t3'!I19</f>
        <v>0</v>
      </c>
      <c r="K21" s="313">
        <f t="shared" si="0"/>
        <v>0</v>
      </c>
      <c r="L21" s="313">
        <f>'t10'!AU19</f>
        <v>0</v>
      </c>
      <c r="M21" s="598" t="str">
        <f t="shared" si="1"/>
        <v>OK</v>
      </c>
      <c r="N21" s="92" t="str">
        <f t="shared" si="2"/>
        <v>OK</v>
      </c>
      <c r="O21" s="312">
        <f>'t1'!L19</f>
        <v>0</v>
      </c>
      <c r="P21" s="312">
        <f>'t3'!L19</f>
        <v>0</v>
      </c>
      <c r="Q21" s="313">
        <f>'t3'!N19</f>
        <v>0</v>
      </c>
      <c r="R21" s="313">
        <f>'t3'!P19</f>
        <v>0</v>
      </c>
      <c r="S21" s="313">
        <f>'t3'!D19</f>
        <v>0</v>
      </c>
      <c r="T21" s="313">
        <f>'t3'!F19</f>
        <v>0</v>
      </c>
      <c r="U21" s="313">
        <f>'t3'!H19</f>
        <v>0</v>
      </c>
      <c r="V21" s="313">
        <f>'t3'!J19</f>
        <v>0</v>
      </c>
      <c r="W21" s="313">
        <f t="shared" si="3"/>
        <v>0</v>
      </c>
      <c r="X21" s="313">
        <f>'t10'!AV19</f>
        <v>0</v>
      </c>
      <c r="Y21" s="598" t="str">
        <f t="shared" si="4"/>
        <v>OK</v>
      </c>
      <c r="Z21" s="168" t="str">
        <f t="shared" si="5"/>
        <v>OK</v>
      </c>
    </row>
    <row r="22" spans="1:26" ht="14.1" customHeight="1" x14ac:dyDescent="0.2">
      <c r="A22" s="118" t="str">
        <f>'t1'!A20</f>
        <v>ALTRI PROF.STI</v>
      </c>
      <c r="B22" s="163" t="str">
        <f>'t1'!B20</f>
        <v>0D0075</v>
      </c>
      <c r="C22" s="312">
        <f>'t1'!K20</f>
        <v>0</v>
      </c>
      <c r="D22" s="312">
        <f>'t3'!K20</f>
        <v>0</v>
      </c>
      <c r="E22" s="313">
        <f>'t3'!M20</f>
        <v>0</v>
      </c>
      <c r="F22" s="313">
        <f>'t3'!O20</f>
        <v>0</v>
      </c>
      <c r="G22" s="313">
        <f>'t3'!C20</f>
        <v>0</v>
      </c>
      <c r="H22" s="313">
        <f>'t3'!E20</f>
        <v>0</v>
      </c>
      <c r="I22" s="313">
        <f>'t3'!G20</f>
        <v>0</v>
      </c>
      <c r="J22" s="313">
        <f>'t3'!I20</f>
        <v>0</v>
      </c>
      <c r="K22" s="313">
        <f t="shared" si="0"/>
        <v>0</v>
      </c>
      <c r="L22" s="313">
        <f>'t10'!AU20</f>
        <v>0</v>
      </c>
      <c r="M22" s="598" t="str">
        <f t="shared" si="1"/>
        <v>OK</v>
      </c>
      <c r="N22" s="92" t="str">
        <f t="shared" si="2"/>
        <v>OK</v>
      </c>
      <c r="O22" s="312">
        <f>'t1'!L20</f>
        <v>0</v>
      </c>
      <c r="P22" s="312">
        <f>'t3'!L20</f>
        <v>0</v>
      </c>
      <c r="Q22" s="313">
        <f>'t3'!N20</f>
        <v>0</v>
      </c>
      <c r="R22" s="313">
        <f>'t3'!P20</f>
        <v>0</v>
      </c>
      <c r="S22" s="313">
        <f>'t3'!D20</f>
        <v>0</v>
      </c>
      <c r="T22" s="313">
        <f>'t3'!F20</f>
        <v>0</v>
      </c>
      <c r="U22" s="313">
        <f>'t3'!H20</f>
        <v>0</v>
      </c>
      <c r="V22" s="313">
        <f>'t3'!J20</f>
        <v>0</v>
      </c>
      <c r="W22" s="313">
        <f t="shared" si="3"/>
        <v>0</v>
      </c>
      <c r="X22" s="313">
        <f>'t10'!AV20</f>
        <v>0</v>
      </c>
      <c r="Y22" s="598" t="str">
        <f t="shared" si="4"/>
        <v>OK</v>
      </c>
      <c r="Z22" s="168" t="str">
        <f t="shared" si="5"/>
        <v>OK</v>
      </c>
    </row>
    <row r="23" spans="1:26" ht="14.1" customHeight="1" x14ac:dyDescent="0.2">
      <c r="A23" s="118" t="str">
        <f>'t1'!A21</f>
        <v>ELEVATE PROFESSIONALITA'</v>
      </c>
      <c r="B23" s="163" t="str">
        <f>'t1'!B21</f>
        <v>0EP981</v>
      </c>
      <c r="C23" s="312">
        <f>'t1'!K21</f>
        <v>0</v>
      </c>
      <c r="D23" s="312">
        <f>'t3'!K21</f>
        <v>0</v>
      </c>
      <c r="E23" s="313">
        <f>'t3'!M21</f>
        <v>0</v>
      </c>
      <c r="F23" s="313">
        <f>'t3'!O21</f>
        <v>0</v>
      </c>
      <c r="G23" s="313">
        <f>'t3'!C21</f>
        <v>0</v>
      </c>
      <c r="H23" s="313">
        <f>'t3'!E21</f>
        <v>0</v>
      </c>
      <c r="I23" s="313">
        <f>'t3'!G21</f>
        <v>0</v>
      </c>
      <c r="J23" s="313">
        <f>'t3'!I21</f>
        <v>0</v>
      </c>
      <c r="K23" s="313">
        <f t="shared" si="0"/>
        <v>0</v>
      </c>
      <c r="L23" s="313">
        <f>'t10'!AU21</f>
        <v>0</v>
      </c>
      <c r="M23" s="598" t="str">
        <f t="shared" si="1"/>
        <v>OK</v>
      </c>
      <c r="N23" s="92" t="str">
        <f t="shared" si="2"/>
        <v>OK</v>
      </c>
      <c r="O23" s="312">
        <f>'t1'!L21</f>
        <v>0</v>
      </c>
      <c r="P23" s="312">
        <f>'t3'!L21</f>
        <v>0</v>
      </c>
      <c r="Q23" s="313">
        <f>'t3'!N21</f>
        <v>0</v>
      </c>
      <c r="R23" s="313">
        <f>'t3'!P21</f>
        <v>0</v>
      </c>
      <c r="S23" s="313">
        <f>'t3'!D21</f>
        <v>0</v>
      </c>
      <c r="T23" s="313">
        <f>'t3'!F21</f>
        <v>0</v>
      </c>
      <c r="U23" s="313">
        <f>'t3'!H21</f>
        <v>0</v>
      </c>
      <c r="V23" s="313">
        <f>'t3'!J21</f>
        <v>0</v>
      </c>
      <c r="W23" s="313">
        <f t="shared" si="3"/>
        <v>0</v>
      </c>
      <c r="X23" s="313">
        <f>'t10'!AV21</f>
        <v>0</v>
      </c>
      <c r="Y23" s="598" t="str">
        <f t="shared" si="4"/>
        <v>OK</v>
      </c>
      <c r="Z23" s="168" t="str">
        <f t="shared" si="5"/>
        <v>OK</v>
      </c>
    </row>
    <row r="24" spans="1:26" ht="14.1" customHeight="1" x14ac:dyDescent="0.2">
      <c r="A24" s="118" t="str">
        <f>'t1'!A22</f>
        <v>FUNZIONARI</v>
      </c>
      <c r="B24" s="163" t="str">
        <f>'t1'!B22</f>
        <v>0FZ000</v>
      </c>
      <c r="C24" s="312">
        <f>'t1'!K22</f>
        <v>0</v>
      </c>
      <c r="D24" s="312">
        <f>'t3'!K22</f>
        <v>0</v>
      </c>
      <c r="E24" s="313">
        <f>'t3'!M22</f>
        <v>0</v>
      </c>
      <c r="F24" s="313">
        <f>'t3'!O22</f>
        <v>0</v>
      </c>
      <c r="G24" s="313">
        <f>'t3'!C22</f>
        <v>0</v>
      </c>
      <c r="H24" s="313">
        <f>'t3'!E22</f>
        <v>0</v>
      </c>
      <c r="I24" s="313">
        <f>'t3'!G22</f>
        <v>0</v>
      </c>
      <c r="J24" s="313">
        <f>'t3'!I22</f>
        <v>0</v>
      </c>
      <c r="K24" s="313">
        <f t="shared" si="0"/>
        <v>0</v>
      </c>
      <c r="L24" s="313">
        <f>'t10'!AU22</f>
        <v>0</v>
      </c>
      <c r="M24" s="598" t="str">
        <f t="shared" si="1"/>
        <v>OK</v>
      </c>
      <c r="N24" s="92" t="str">
        <f t="shared" si="2"/>
        <v>OK</v>
      </c>
      <c r="O24" s="312">
        <f>'t1'!L22</f>
        <v>0</v>
      </c>
      <c r="P24" s="312">
        <f>'t3'!L22</f>
        <v>0</v>
      </c>
      <c r="Q24" s="313">
        <f>'t3'!N22</f>
        <v>0</v>
      </c>
      <c r="R24" s="313">
        <f>'t3'!P22</f>
        <v>0</v>
      </c>
      <c r="S24" s="313">
        <f>'t3'!D22</f>
        <v>0</v>
      </c>
      <c r="T24" s="313">
        <f>'t3'!F22</f>
        <v>0</v>
      </c>
      <c r="U24" s="313">
        <f>'t3'!H22</f>
        <v>0</v>
      </c>
      <c r="V24" s="313">
        <f>'t3'!J22</f>
        <v>0</v>
      </c>
      <c r="W24" s="313">
        <f t="shared" si="3"/>
        <v>0</v>
      </c>
      <c r="X24" s="313">
        <f>'t10'!AV22</f>
        <v>0</v>
      </c>
      <c r="Y24" s="598" t="str">
        <f t="shared" si="4"/>
        <v>OK</v>
      </c>
      <c r="Z24" s="168" t="str">
        <f t="shared" si="5"/>
        <v>OK</v>
      </c>
    </row>
    <row r="25" spans="1:26" ht="14.1" customHeight="1" x14ac:dyDescent="0.2">
      <c r="A25" s="118" t="str">
        <f>'t1'!A23</f>
        <v>ASSISTENTI</v>
      </c>
      <c r="B25" s="163" t="str">
        <f>'t1'!B23</f>
        <v>0AS000</v>
      </c>
      <c r="C25" s="312">
        <f>'t1'!K23</f>
        <v>0</v>
      </c>
      <c r="D25" s="312">
        <f>'t3'!K23</f>
        <v>0</v>
      </c>
      <c r="E25" s="313">
        <f>'t3'!M23</f>
        <v>0</v>
      </c>
      <c r="F25" s="313">
        <f>'t3'!O23</f>
        <v>0</v>
      </c>
      <c r="G25" s="313">
        <f>'t3'!C23</f>
        <v>0</v>
      </c>
      <c r="H25" s="313">
        <f>'t3'!E23</f>
        <v>0</v>
      </c>
      <c r="I25" s="313">
        <f>'t3'!G23</f>
        <v>0</v>
      </c>
      <c r="J25" s="313">
        <f>'t3'!I23</f>
        <v>0</v>
      </c>
      <c r="K25" s="313">
        <f t="shared" si="0"/>
        <v>0</v>
      </c>
      <c r="L25" s="313">
        <f>'t10'!AU23</f>
        <v>0</v>
      </c>
      <c r="M25" s="598" t="str">
        <f t="shared" si="1"/>
        <v>OK</v>
      </c>
      <c r="N25" s="92" t="str">
        <f t="shared" si="2"/>
        <v>OK</v>
      </c>
      <c r="O25" s="312">
        <f>'t1'!L23</f>
        <v>0</v>
      </c>
      <c r="P25" s="312">
        <f>'t3'!L23</f>
        <v>0</v>
      </c>
      <c r="Q25" s="313">
        <f>'t3'!N23</f>
        <v>0</v>
      </c>
      <c r="R25" s="313">
        <f>'t3'!P23</f>
        <v>0</v>
      </c>
      <c r="S25" s="313">
        <f>'t3'!D23</f>
        <v>0</v>
      </c>
      <c r="T25" s="313">
        <f>'t3'!F23</f>
        <v>0</v>
      </c>
      <c r="U25" s="313">
        <f>'t3'!H23</f>
        <v>0</v>
      </c>
      <c r="V25" s="313">
        <f>'t3'!J23</f>
        <v>0</v>
      </c>
      <c r="W25" s="313">
        <f t="shared" si="3"/>
        <v>0</v>
      </c>
      <c r="X25" s="313">
        <f>'t10'!AV23</f>
        <v>0</v>
      </c>
      <c r="Y25" s="598" t="str">
        <f t="shared" si="4"/>
        <v>OK</v>
      </c>
      <c r="Z25" s="168" t="str">
        <f t="shared" si="5"/>
        <v>OK</v>
      </c>
    </row>
    <row r="26" spans="1:26" ht="14.1" customHeight="1" x14ac:dyDescent="0.2">
      <c r="A26" s="118" t="str">
        <f>'t1'!A24</f>
        <v>OPERATORI</v>
      </c>
      <c r="B26" s="163" t="str">
        <f>'t1'!B24</f>
        <v>0OP000</v>
      </c>
      <c r="C26" s="312">
        <f>'t1'!K24</f>
        <v>0</v>
      </c>
      <c r="D26" s="312">
        <f>'t3'!K24</f>
        <v>0</v>
      </c>
      <c r="E26" s="313">
        <f>'t3'!M24</f>
        <v>0</v>
      </c>
      <c r="F26" s="313">
        <f>'t3'!O24</f>
        <v>0</v>
      </c>
      <c r="G26" s="313">
        <f>'t3'!C24</f>
        <v>0</v>
      </c>
      <c r="H26" s="313">
        <f>'t3'!E24</f>
        <v>0</v>
      </c>
      <c r="I26" s="313">
        <f>'t3'!G24</f>
        <v>0</v>
      </c>
      <c r="J26" s="313">
        <f>'t3'!I24</f>
        <v>0</v>
      </c>
      <c r="K26" s="313">
        <f t="shared" si="0"/>
        <v>0</v>
      </c>
      <c r="L26" s="313">
        <f>'t10'!AU24</f>
        <v>0</v>
      </c>
      <c r="M26" s="598" t="str">
        <f t="shared" si="1"/>
        <v>OK</v>
      </c>
      <c r="N26" s="92" t="str">
        <f t="shared" si="2"/>
        <v>OK</v>
      </c>
      <c r="O26" s="312">
        <f>'t1'!L24</f>
        <v>0</v>
      </c>
      <c r="P26" s="312">
        <f>'t3'!L24</f>
        <v>0</v>
      </c>
      <c r="Q26" s="313">
        <f>'t3'!N24</f>
        <v>0</v>
      </c>
      <c r="R26" s="313">
        <f>'t3'!P24</f>
        <v>0</v>
      </c>
      <c r="S26" s="313">
        <f>'t3'!D24</f>
        <v>0</v>
      </c>
      <c r="T26" s="313">
        <f>'t3'!F24</f>
        <v>0</v>
      </c>
      <c r="U26" s="313">
        <f>'t3'!H24</f>
        <v>0</v>
      </c>
      <c r="V26" s="313">
        <f>'t3'!J24</f>
        <v>0</v>
      </c>
      <c r="W26" s="313">
        <f t="shared" si="3"/>
        <v>0</v>
      </c>
      <c r="X26" s="313">
        <f>'t10'!AV24</f>
        <v>0</v>
      </c>
      <c r="Y26" s="598" t="str">
        <f t="shared" si="4"/>
        <v>OK</v>
      </c>
      <c r="Z26" s="168" t="str">
        <f t="shared" si="5"/>
        <v>OK</v>
      </c>
    </row>
    <row r="27" spans="1:26" ht="14.1" customHeight="1" x14ac:dyDescent="0.2">
      <c r="A27" s="118" t="str">
        <f>'t1'!A25</f>
        <v>CONTRATTISTI</v>
      </c>
      <c r="B27" s="163" t="str">
        <f>'t1'!B25</f>
        <v>000061</v>
      </c>
      <c r="C27" s="312">
        <f>'t1'!K25</f>
        <v>0</v>
      </c>
      <c r="D27" s="312">
        <f>'t3'!K25</f>
        <v>0</v>
      </c>
      <c r="E27" s="313">
        <f>'t3'!M25</f>
        <v>0</v>
      </c>
      <c r="F27" s="313">
        <f>'t3'!O25</f>
        <v>0</v>
      </c>
      <c r="G27" s="313">
        <f>'t3'!C25</f>
        <v>0</v>
      </c>
      <c r="H27" s="313">
        <f>'t3'!E25</f>
        <v>0</v>
      </c>
      <c r="I27" s="313">
        <f>'t3'!G25</f>
        <v>0</v>
      </c>
      <c r="J27" s="313">
        <f>'t3'!I25</f>
        <v>0</v>
      </c>
      <c r="K27" s="313">
        <f t="shared" si="0"/>
        <v>0</v>
      </c>
      <c r="L27" s="313">
        <f>'t10'!AU25</f>
        <v>0</v>
      </c>
      <c r="M27" s="598" t="str">
        <f t="shared" si="1"/>
        <v>OK</v>
      </c>
      <c r="N27" s="92" t="str">
        <f t="shared" si="2"/>
        <v>OK</v>
      </c>
      <c r="O27" s="312">
        <f>'t1'!L25</f>
        <v>0</v>
      </c>
      <c r="P27" s="312">
        <f>'t3'!L25</f>
        <v>0</v>
      </c>
      <c r="Q27" s="313">
        <f>'t3'!N25</f>
        <v>0</v>
      </c>
      <c r="R27" s="313">
        <f>'t3'!P25</f>
        <v>0</v>
      </c>
      <c r="S27" s="313">
        <f>'t3'!D25</f>
        <v>0</v>
      </c>
      <c r="T27" s="313">
        <f>'t3'!F25</f>
        <v>0</v>
      </c>
      <c r="U27" s="313">
        <f>'t3'!H25</f>
        <v>0</v>
      </c>
      <c r="V27" s="313">
        <f>'t3'!J25</f>
        <v>0</v>
      </c>
      <c r="W27" s="313">
        <f t="shared" si="3"/>
        <v>0</v>
      </c>
      <c r="X27" s="313">
        <f>'t10'!AV25</f>
        <v>0</v>
      </c>
      <c r="Y27" s="598" t="str">
        <f t="shared" si="4"/>
        <v>OK</v>
      </c>
      <c r="Z27" s="168" t="str">
        <f t="shared" si="5"/>
        <v>OK</v>
      </c>
    </row>
    <row r="28" spans="1:26" ht="15.75" customHeight="1" x14ac:dyDescent="0.2">
      <c r="A28" s="118" t="str">
        <f>'t1'!A26</f>
        <v>TOTALE</v>
      </c>
      <c r="B28" s="155"/>
      <c r="C28" s="312">
        <f t="shared" ref="C28:J28" si="6">SUM(C8:C27)</f>
        <v>0</v>
      </c>
      <c r="D28" s="312">
        <f t="shared" si="6"/>
        <v>0</v>
      </c>
      <c r="E28" s="312">
        <f t="shared" si="6"/>
        <v>0</v>
      </c>
      <c r="F28" s="312">
        <f t="shared" si="6"/>
        <v>0</v>
      </c>
      <c r="G28" s="312">
        <f t="shared" si="6"/>
        <v>0</v>
      </c>
      <c r="H28" s="312">
        <f t="shared" si="6"/>
        <v>0</v>
      </c>
      <c r="I28" s="312">
        <f t="shared" si="6"/>
        <v>0</v>
      </c>
      <c r="J28" s="312">
        <f t="shared" si="6"/>
        <v>0</v>
      </c>
      <c r="K28" s="313">
        <f>C28+D28+E28+F28-G28-H28-I28-J28</f>
        <v>0</v>
      </c>
      <c r="L28" s="312">
        <f>SUM(L8:L27)</f>
        <v>0</v>
      </c>
      <c r="M28" s="598" t="str">
        <f>IF(C28&lt;(G28+H28+I28+J28),"ERRORE","OK")</f>
        <v>OK</v>
      </c>
      <c r="N28" s="92" t="str">
        <f>IF(K28=L28,"OK","ERRORE")</f>
        <v>OK</v>
      </c>
      <c r="O28" s="312">
        <f t="shared" ref="O28:V28" si="7">SUM(O8:O27)</f>
        <v>0</v>
      </c>
      <c r="P28" s="312">
        <f t="shared" si="7"/>
        <v>0</v>
      </c>
      <c r="Q28" s="312">
        <f t="shared" si="7"/>
        <v>0</v>
      </c>
      <c r="R28" s="312">
        <f t="shared" si="7"/>
        <v>0</v>
      </c>
      <c r="S28" s="312">
        <f t="shared" si="7"/>
        <v>0</v>
      </c>
      <c r="T28" s="312">
        <f t="shared" si="7"/>
        <v>0</v>
      </c>
      <c r="U28" s="312">
        <f t="shared" si="7"/>
        <v>0</v>
      </c>
      <c r="V28" s="312">
        <f t="shared" si="7"/>
        <v>0</v>
      </c>
      <c r="W28" s="313">
        <f>O28+P28+Q28+R28-S28-T28-U28-V28</f>
        <v>0</v>
      </c>
      <c r="X28" s="312">
        <f>SUM(X8:X27)</f>
        <v>0</v>
      </c>
      <c r="Y28" s="598" t="str">
        <f>IF(O28&lt;(S28+T28+U28+V28),"ERRORE","OK")</f>
        <v>OK</v>
      </c>
      <c r="Z28" s="168" t="str">
        <f>IF(W28=X28,"OK","ERRORE")</f>
        <v>OK</v>
      </c>
    </row>
  </sheetData>
  <sheetProtection algorithmName="SHA-512" hashValue="1JrB+HlL8qWqnSD1qE+LgB3nzWIB7MWpVHUDaeRXc7y60CXmhXE7vc9gmd5uFjtuEduRtDLDzXFqY/QHHTQB7Q==" saltValue="yI6JRGYNzkEReOzNyBDFNg==" spinCount="100000" sheet="1" formatColumns="0" selectLockedCells="1" selectUnlockedCells="1"/>
  <mergeCells count="4">
    <mergeCell ref="O5:Z5"/>
    <mergeCell ref="C5:N5"/>
    <mergeCell ref="A1:W1"/>
    <mergeCell ref="A2:L2"/>
  </mergeCells>
  <phoneticPr fontId="30" type="noConversion"/>
  <printOptions horizontalCentered="1" verticalCentered="1"/>
  <pageMargins left="0.19685039370078741" right="0" top="0.15748031496062992" bottom="0.15748031496062992" header="0.19685039370078741" footer="0.19685039370078741"/>
  <pageSetup paperSize="9" scale="80" orientation="landscape" horizontalDpi="300" verticalDpi="4294967292" r:id="rId1"/>
  <headerFooter alignWithMargins="0"/>
  <colBreaks count="1" manualBreakCount="1">
    <brk id="14" max="1048575" man="1"/>
  </col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glio25"/>
  <dimension ref="A1:M26"/>
  <sheetViews>
    <sheetView showGridLines="0" workbookViewId="0">
      <pane ySplit="5" topLeftCell="A9" activePane="bottomLeft" state="frozen"/>
      <selection activeCell="A2" sqref="A2"/>
      <selection pane="bottomLeft" activeCell="B5" sqref="B5"/>
    </sheetView>
  </sheetViews>
  <sheetFormatPr defaultColWidth="9.28515625" defaultRowHeight="10.199999999999999" x14ac:dyDescent="0.2"/>
  <cols>
    <col min="1" max="1" width="38.42578125" style="3" customWidth="1"/>
    <col min="2" max="2" width="11.7109375" style="2" customWidth="1"/>
    <col min="3" max="3" width="17" style="2" bestFit="1" customWidth="1"/>
    <col min="4" max="8" width="15.7109375" style="2" customWidth="1"/>
    <col min="9" max="9" width="14.7109375" style="2" customWidth="1"/>
    <col min="10" max="16384" width="9.28515625" style="3"/>
  </cols>
  <sheetData>
    <row r="1" spans="1:13" ht="43.5" customHeight="1" x14ac:dyDescent="0.2">
      <c r="A1" s="1463" t="str">
        <f>'t1'!A1</f>
        <v>ENTI PUBBLICI NON ECONOMICI - anno 2023</v>
      </c>
      <c r="B1" s="1463"/>
      <c r="C1" s="1463"/>
      <c r="D1" s="1463"/>
      <c r="E1" s="1463"/>
      <c r="F1" s="1463"/>
      <c r="G1" s="1463"/>
      <c r="H1" s="289"/>
      <c r="I1" s="286"/>
      <c r="M1"/>
    </row>
    <row r="2" spans="1:13" ht="21" customHeight="1" x14ac:dyDescent="0.2">
      <c r="B2" s="3"/>
      <c r="C2" s="3"/>
      <c r="D2" s="1547"/>
      <c r="E2" s="1547"/>
      <c r="F2" s="1547"/>
      <c r="G2" s="1547"/>
      <c r="H2" s="1547"/>
      <c r="I2" s="1547"/>
      <c r="J2" s="290"/>
      <c r="M2"/>
    </row>
    <row r="3" spans="1:13" ht="21" customHeight="1" x14ac:dyDescent="0.25">
      <c r="A3" s="173" t="s">
        <v>243</v>
      </c>
      <c r="C3" s="3"/>
      <c r="D3" s="3"/>
      <c r="E3" s="3"/>
      <c r="F3" s="3"/>
      <c r="G3" s="3"/>
      <c r="H3" s="3"/>
      <c r="I3" s="3"/>
    </row>
    <row r="4" spans="1:13" ht="49.5" customHeight="1" x14ac:dyDescent="0.2">
      <c r="A4" s="161" t="s">
        <v>181</v>
      </c>
      <c r="B4" s="161" t="s">
        <v>180</v>
      </c>
      <c r="C4" s="161" t="str">
        <f>"Presenti 31.12 anno precedente (Tab 1)"</f>
        <v>Presenti 31.12 anno precedente (Tab 1)</v>
      </c>
      <c r="D4" s="161" t="s">
        <v>202</v>
      </c>
      <c r="E4" s="161" t="s">
        <v>203</v>
      </c>
      <c r="F4" s="161" t="s">
        <v>204</v>
      </c>
      <c r="G4" s="161" t="s">
        <v>215</v>
      </c>
      <c r="H4" s="161" t="s">
        <v>205</v>
      </c>
      <c r="I4" s="161" t="s">
        <v>172</v>
      </c>
    </row>
    <row r="5" spans="1:13" x14ac:dyDescent="0.2">
      <c r="A5" s="161"/>
      <c r="B5" s="161"/>
      <c r="C5" s="171" t="s">
        <v>182</v>
      </c>
      <c r="D5" s="171" t="s">
        <v>183</v>
      </c>
      <c r="E5" s="171" t="s">
        <v>184</v>
      </c>
      <c r="F5" s="171" t="s">
        <v>185</v>
      </c>
      <c r="G5" s="171" t="s">
        <v>214</v>
      </c>
      <c r="H5" s="171" t="s">
        <v>206</v>
      </c>
      <c r="I5" s="171" t="s">
        <v>207</v>
      </c>
    </row>
    <row r="6" spans="1:13" ht="14.1" customHeight="1" x14ac:dyDescent="0.2">
      <c r="A6" s="118" t="str">
        <f>'t1'!A6</f>
        <v>DIRETTORE GENERALE</v>
      </c>
      <c r="B6" s="163" t="str">
        <f>'t1'!B6</f>
        <v>0D0097</v>
      </c>
      <c r="C6" s="312">
        <f>'t1'!C6+'t1'!D6</f>
        <v>0</v>
      </c>
      <c r="D6" s="312">
        <f>'t5'!U7+'t5'!V7</f>
        <v>0</v>
      </c>
      <c r="E6" s="313">
        <f>'t6'!U7+'t6'!V7</f>
        <v>0</v>
      </c>
      <c r="F6" s="313">
        <f>'t4'!$C$35</f>
        <v>0</v>
      </c>
      <c r="G6" s="313">
        <f>C6-D6+E6+F6</f>
        <v>0</v>
      </c>
      <c r="H6" s="313">
        <f>'t4'!W15</f>
        <v>0</v>
      </c>
      <c r="I6" s="92" t="str">
        <f>IF(H6&lt;=G6,"OK","ERRORE")</f>
        <v>OK</v>
      </c>
    </row>
    <row r="7" spans="1:13" ht="14.1" customHeight="1" x14ac:dyDescent="0.2">
      <c r="A7" s="118" t="str">
        <f>'t1'!A7</f>
        <v>DIRIGENTE I FASCIA</v>
      </c>
      <c r="B7" s="163" t="str">
        <f>'t1'!B7</f>
        <v>0D0077</v>
      </c>
      <c r="C7" s="312">
        <f>'t1'!C7+'t1'!D7</f>
        <v>0</v>
      </c>
      <c r="D7" s="312">
        <f>'t5'!U8+'t5'!V8</f>
        <v>0</v>
      </c>
      <c r="E7" s="313">
        <f>'t6'!U8+'t6'!V8</f>
        <v>0</v>
      </c>
      <c r="F7" s="313">
        <f>'t4'!$D$35</f>
        <v>0</v>
      </c>
      <c r="G7" s="313">
        <f>C7-D7+E7+F7</f>
        <v>0</v>
      </c>
      <c r="H7" s="313">
        <f>'t4'!W16</f>
        <v>0</v>
      </c>
      <c r="I7" s="92" t="str">
        <f t="shared" ref="I7:I20" si="0">IF(H7&lt;=G7,"OK","ERRORE")</f>
        <v>OK</v>
      </c>
    </row>
    <row r="8" spans="1:13" ht="14.1" customHeight="1" x14ac:dyDescent="0.2">
      <c r="A8" s="118" t="str">
        <f>'t1'!A8</f>
        <v>DIRIGENTE I FASCIA A TEMPO DETERM.</v>
      </c>
      <c r="B8" s="163" t="str">
        <f>'t1'!B8</f>
        <v>0D0078</v>
      </c>
      <c r="C8" s="312">
        <f>'t1'!C8+'t1'!D8</f>
        <v>0</v>
      </c>
      <c r="D8" s="312">
        <f>'t5'!U9+'t5'!V9</f>
        <v>0</v>
      </c>
      <c r="E8" s="313">
        <f>'t6'!U9+'t6'!V9</f>
        <v>0</v>
      </c>
      <c r="F8" s="313">
        <f>'t4'!$E$35</f>
        <v>0</v>
      </c>
      <c r="G8" s="313">
        <f t="shared" ref="G8:G20" si="1">C8-D8+E8+F8</f>
        <v>0</v>
      </c>
      <c r="H8" s="313">
        <f>'t4'!W17</f>
        <v>0</v>
      </c>
      <c r="I8" s="92" t="str">
        <f t="shared" si="0"/>
        <v>OK</v>
      </c>
    </row>
    <row r="9" spans="1:13" ht="14.1" customHeight="1" x14ac:dyDescent="0.2">
      <c r="A9" s="118" t="str">
        <f>'t1'!A9</f>
        <v>DIRIGENTE II FASCIA</v>
      </c>
      <c r="B9" s="163" t="str">
        <f>'t1'!B9</f>
        <v>0D0079</v>
      </c>
      <c r="C9" s="312">
        <f>'t1'!C9+'t1'!D9</f>
        <v>0</v>
      </c>
      <c r="D9" s="312">
        <f>'t5'!U10+'t5'!V10</f>
        <v>0</v>
      </c>
      <c r="E9" s="313">
        <f>'t6'!U10+'t6'!V10</f>
        <v>0</v>
      </c>
      <c r="F9" s="313">
        <f>'t4'!$F$35</f>
        <v>0</v>
      </c>
      <c r="G9" s="313">
        <f t="shared" si="1"/>
        <v>0</v>
      </c>
      <c r="H9" s="313">
        <f>'t4'!W18</f>
        <v>0</v>
      </c>
      <c r="I9" s="92" t="str">
        <f t="shared" si="0"/>
        <v>OK</v>
      </c>
    </row>
    <row r="10" spans="1:13" ht="14.1" customHeight="1" x14ac:dyDescent="0.2">
      <c r="A10" s="118" t="str">
        <f>'t1'!A10</f>
        <v>DIRIGENTE II FASCIA A TEMPO DETERM.</v>
      </c>
      <c r="B10" s="163" t="str">
        <f>'t1'!B10</f>
        <v>0D0080</v>
      </c>
      <c r="C10" s="312">
        <f>'t1'!C10+'t1'!D10</f>
        <v>0</v>
      </c>
      <c r="D10" s="312">
        <f>'t5'!U11+'t5'!V11</f>
        <v>0</v>
      </c>
      <c r="E10" s="313">
        <f>'t6'!U11+'t6'!V11</f>
        <v>0</v>
      </c>
      <c r="F10" s="313">
        <f>'t4'!$G$35</f>
        <v>0</v>
      </c>
      <c r="G10" s="313">
        <f t="shared" si="1"/>
        <v>0</v>
      </c>
      <c r="H10" s="313">
        <f>'t4'!W19</f>
        <v>0</v>
      </c>
      <c r="I10" s="92" t="str">
        <f t="shared" si="0"/>
        <v>OK</v>
      </c>
    </row>
    <row r="11" spans="1:13" ht="14.1" customHeight="1" x14ac:dyDescent="0.2">
      <c r="A11" s="118" t="str">
        <f>'t1'!A11</f>
        <v>MEDICO II FASCIA T.P.</v>
      </c>
      <c r="B11" s="163" t="str">
        <f>'t1'!B11</f>
        <v>0D0584</v>
      </c>
      <c r="C11" s="312">
        <f>'t1'!C11+'t1'!D11</f>
        <v>0</v>
      </c>
      <c r="D11" s="312">
        <f>'t5'!U12+'t5'!V12</f>
        <v>0</v>
      </c>
      <c r="E11" s="313">
        <f>'t6'!U12+'t6'!V12</f>
        <v>0</v>
      </c>
      <c r="F11" s="313">
        <f>'t4'!$H$35</f>
        <v>0</v>
      </c>
      <c r="G11" s="313">
        <f t="shared" si="1"/>
        <v>0</v>
      </c>
      <c r="H11" s="313">
        <f>'t4'!W20</f>
        <v>0</v>
      </c>
      <c r="I11" s="92" t="str">
        <f t="shared" si="0"/>
        <v>OK</v>
      </c>
    </row>
    <row r="12" spans="1:13" ht="14.1" customHeight="1" x14ac:dyDescent="0.2">
      <c r="A12" s="118" t="str">
        <f>'t1'!A12</f>
        <v>MEDICO I FASCIA T.P.</v>
      </c>
      <c r="B12" s="163" t="str">
        <f>'t1'!B12</f>
        <v>0D0585</v>
      </c>
      <c r="C12" s="312">
        <f>'t1'!C12+'t1'!D12</f>
        <v>0</v>
      </c>
      <c r="D12" s="312">
        <f>'t5'!U13+'t5'!V13</f>
        <v>0</v>
      </c>
      <c r="E12" s="313">
        <f>'t6'!U13+'t6'!V13</f>
        <v>0</v>
      </c>
      <c r="F12" s="313">
        <f>'t4'!$I$35</f>
        <v>0</v>
      </c>
      <c r="G12" s="313">
        <f t="shared" si="1"/>
        <v>0</v>
      </c>
      <c r="H12" s="313">
        <f>'t4'!W21</f>
        <v>0</v>
      </c>
      <c r="I12" s="92" t="str">
        <f t="shared" si="0"/>
        <v>OK</v>
      </c>
    </row>
    <row r="13" spans="1:13" ht="14.1" customHeight="1" x14ac:dyDescent="0.2">
      <c r="A13" s="118" t="str">
        <f>'t1'!A13</f>
        <v>MEDICO II FASCIA T.D.</v>
      </c>
      <c r="B13" s="163" t="str">
        <f>'t1'!B13</f>
        <v>0D0586</v>
      </c>
      <c r="C13" s="312">
        <f>'t1'!C13+'t1'!D13</f>
        <v>0</v>
      </c>
      <c r="D13" s="312">
        <f>'t5'!U14+'t5'!V14</f>
        <v>0</v>
      </c>
      <c r="E13" s="313">
        <f>'t6'!U14+'t6'!V14</f>
        <v>0</v>
      </c>
      <c r="F13" s="313">
        <f>'t4'!$J$35</f>
        <v>0</v>
      </c>
      <c r="G13" s="313">
        <f t="shared" si="1"/>
        <v>0</v>
      </c>
      <c r="H13" s="313">
        <f>'t4'!W22</f>
        <v>0</v>
      </c>
      <c r="I13" s="92" t="str">
        <f t="shared" si="0"/>
        <v>OK</v>
      </c>
    </row>
    <row r="14" spans="1:13" ht="14.1" customHeight="1" x14ac:dyDescent="0.2">
      <c r="A14" s="118" t="str">
        <f>'t1'!A14</f>
        <v>MEDICO I FASCIA T.D.</v>
      </c>
      <c r="B14" s="163" t="str">
        <f>'t1'!B14</f>
        <v>0D0496</v>
      </c>
      <c r="C14" s="312">
        <f>'t1'!C14+'t1'!D14</f>
        <v>0</v>
      </c>
      <c r="D14" s="312">
        <f>'t5'!U15+'t5'!V15</f>
        <v>0</v>
      </c>
      <c r="E14" s="313">
        <f>'t6'!U15+'t6'!V15</f>
        <v>0</v>
      </c>
      <c r="F14" s="313">
        <f>'t4'!$K$35</f>
        <v>0</v>
      </c>
      <c r="G14" s="313">
        <f t="shared" si="1"/>
        <v>0</v>
      </c>
      <c r="H14" s="313">
        <f>'t4'!W23</f>
        <v>0</v>
      </c>
      <c r="I14" s="92" t="str">
        <f t="shared" si="0"/>
        <v>OK</v>
      </c>
    </row>
    <row r="15" spans="1:13" ht="14.1" customHeight="1" x14ac:dyDescent="0.2">
      <c r="A15" s="118" t="str">
        <f>'t1'!A15</f>
        <v>PROF.STI LEGALI LIV. II DIFF.</v>
      </c>
      <c r="B15" s="163" t="str">
        <f>'t1'!B15</f>
        <v>0D0473</v>
      </c>
      <c r="C15" s="312">
        <f>'t1'!C15+'t1'!D15</f>
        <v>0</v>
      </c>
      <c r="D15" s="312">
        <f>'t5'!U16+'t5'!V16</f>
        <v>0</v>
      </c>
      <c r="E15" s="313">
        <f>'t6'!U16+'t6'!V16</f>
        <v>0</v>
      </c>
      <c r="F15" s="313">
        <f>'t4'!$L$35</f>
        <v>0</v>
      </c>
      <c r="G15" s="313">
        <f t="shared" si="1"/>
        <v>0</v>
      </c>
      <c r="H15" s="313">
        <f>'t4'!W24</f>
        <v>0</v>
      </c>
      <c r="I15" s="92" t="str">
        <f t="shared" si="0"/>
        <v>OK</v>
      </c>
    </row>
    <row r="16" spans="1:13" ht="14.1" customHeight="1" x14ac:dyDescent="0.2">
      <c r="A16" s="118" t="str">
        <f>'t1'!A16</f>
        <v>PROF.STI LEGALI LIV. I DIFF.</v>
      </c>
      <c r="B16" s="163" t="str">
        <f>'t1'!B16</f>
        <v>0D0472</v>
      </c>
      <c r="C16" s="312">
        <f>'t1'!C16+'t1'!D16</f>
        <v>0</v>
      </c>
      <c r="D16" s="312">
        <f>'t5'!U17+'t5'!V17</f>
        <v>0</v>
      </c>
      <c r="E16" s="313">
        <f>'t6'!U17+'t6'!V17</f>
        <v>0</v>
      </c>
      <c r="F16" s="313">
        <f>'t4'!$M$35</f>
        <v>0</v>
      </c>
      <c r="G16" s="313">
        <f t="shared" si="1"/>
        <v>0</v>
      </c>
      <c r="H16" s="313">
        <f>'t4'!W25</f>
        <v>0</v>
      </c>
      <c r="I16" s="92" t="str">
        <f t="shared" si="0"/>
        <v>OK</v>
      </c>
    </row>
    <row r="17" spans="1:9" ht="14.1" customHeight="1" x14ac:dyDescent="0.2">
      <c r="A17" s="118" t="str">
        <f>'t1'!A17</f>
        <v>PROF.STI LEGALI</v>
      </c>
      <c r="B17" s="163" t="str">
        <f>'t1'!B17</f>
        <v>0D0084</v>
      </c>
      <c r="C17" s="312">
        <f>'t1'!C17+'t1'!D17</f>
        <v>0</v>
      </c>
      <c r="D17" s="312">
        <f>'t5'!U18+'t5'!V18</f>
        <v>0</v>
      </c>
      <c r="E17" s="313">
        <f>'t6'!U18+'t6'!V18</f>
        <v>0</v>
      </c>
      <c r="F17" s="313">
        <f>'t4'!$N$35</f>
        <v>0</v>
      </c>
      <c r="G17" s="313">
        <f t="shared" si="1"/>
        <v>0</v>
      </c>
      <c r="H17" s="313">
        <f>'t4'!W26</f>
        <v>0</v>
      </c>
      <c r="I17" s="92" t="str">
        <f t="shared" si="0"/>
        <v>OK</v>
      </c>
    </row>
    <row r="18" spans="1:9" ht="14.1" customHeight="1" x14ac:dyDescent="0.2">
      <c r="A18" s="118" t="str">
        <f>'t1'!A18</f>
        <v>ALTRI PROF.STI LIV. II DIFF.</v>
      </c>
      <c r="B18" s="163" t="str">
        <f>'t1'!B18</f>
        <v>0D0481</v>
      </c>
      <c r="C18" s="312">
        <f>'t1'!C18+'t1'!D18</f>
        <v>0</v>
      </c>
      <c r="D18" s="312">
        <f>'t5'!U19+'t5'!V19</f>
        <v>0</v>
      </c>
      <c r="E18" s="313">
        <f>'t6'!U19+'t6'!V19</f>
        <v>0</v>
      </c>
      <c r="F18" s="313">
        <f>'t4'!$O$35</f>
        <v>0</v>
      </c>
      <c r="G18" s="313">
        <f t="shared" si="1"/>
        <v>0</v>
      </c>
      <c r="H18" s="313">
        <f>'t4'!W27</f>
        <v>0</v>
      </c>
      <c r="I18" s="92" t="str">
        <f t="shared" si="0"/>
        <v>OK</v>
      </c>
    </row>
    <row r="19" spans="1:9" ht="14.1" customHeight="1" x14ac:dyDescent="0.2">
      <c r="A19" s="118" t="str">
        <f>'t1'!A19</f>
        <v>ALTRI PROF.STI LIV. I DIFF.</v>
      </c>
      <c r="B19" s="163" t="str">
        <f>'t1'!B19</f>
        <v>0D0480</v>
      </c>
      <c r="C19" s="312">
        <f>'t1'!C19+'t1'!D19</f>
        <v>0</v>
      </c>
      <c r="D19" s="312">
        <f>'t5'!U20+'t5'!V20</f>
        <v>0</v>
      </c>
      <c r="E19" s="313">
        <f>'t6'!U20+'t6'!V20</f>
        <v>0</v>
      </c>
      <c r="F19" s="313">
        <f>'t4'!$P$35</f>
        <v>0</v>
      </c>
      <c r="G19" s="313">
        <f t="shared" si="1"/>
        <v>0</v>
      </c>
      <c r="H19" s="313">
        <f>'t4'!W28</f>
        <v>0</v>
      </c>
      <c r="I19" s="92" t="str">
        <f t="shared" si="0"/>
        <v>OK</v>
      </c>
    </row>
    <row r="20" spans="1:9" ht="14.1" customHeight="1" x14ac:dyDescent="0.2">
      <c r="A20" s="118" t="str">
        <f>'t1'!A20</f>
        <v>ALTRI PROF.STI</v>
      </c>
      <c r="B20" s="163" t="str">
        <f>'t1'!B20</f>
        <v>0D0075</v>
      </c>
      <c r="C20" s="312">
        <f>'t1'!C20+'t1'!D20</f>
        <v>0</v>
      </c>
      <c r="D20" s="312">
        <f>'t5'!U21+'t5'!V21</f>
        <v>0</v>
      </c>
      <c r="E20" s="313">
        <f>'t6'!U21+'t6'!V21</f>
        <v>0</v>
      </c>
      <c r="F20" s="313">
        <f>'t4'!$Q$35</f>
        <v>0</v>
      </c>
      <c r="G20" s="313">
        <f t="shared" si="1"/>
        <v>0</v>
      </c>
      <c r="H20" s="313">
        <f>'t4'!W29</f>
        <v>0</v>
      </c>
      <c r="I20" s="92" t="str">
        <f t="shared" si="0"/>
        <v>OK</v>
      </c>
    </row>
    <row r="21" spans="1:9" ht="14.1" customHeight="1" x14ac:dyDescent="0.2">
      <c r="A21" s="118" t="str">
        <f>'t1'!A21</f>
        <v>ELEVATE PROFESSIONALITA'</v>
      </c>
      <c r="B21" s="163" t="str">
        <f>'t1'!B21</f>
        <v>0EP981</v>
      </c>
      <c r="C21" s="312">
        <f>'t1'!C21+'t1'!D21</f>
        <v>0</v>
      </c>
      <c r="D21" s="312">
        <f>'t5'!U22+'t5'!V22</f>
        <v>0</v>
      </c>
      <c r="E21" s="313">
        <f>'t6'!U22+'t6'!V22</f>
        <v>0</v>
      </c>
      <c r="F21" s="313">
        <f>'t4'!$R$35</f>
        <v>0</v>
      </c>
      <c r="G21" s="313">
        <f>C21-D21+E21+F21</f>
        <v>0</v>
      </c>
      <c r="H21" s="313">
        <f>'t4'!W30</f>
        <v>0</v>
      </c>
      <c r="I21" s="92" t="str">
        <f>IF(H21&lt;=G21,"OK","ERRORE")</f>
        <v>OK</v>
      </c>
    </row>
    <row r="22" spans="1:9" ht="14.1" customHeight="1" x14ac:dyDescent="0.2">
      <c r="A22" s="118" t="str">
        <f>'t1'!A22</f>
        <v>FUNZIONARI</v>
      </c>
      <c r="B22" s="163" t="str">
        <f>'t1'!B22</f>
        <v>0FZ000</v>
      </c>
      <c r="C22" s="312">
        <f>'t1'!C22+'t1'!D22</f>
        <v>0</v>
      </c>
      <c r="D22" s="312">
        <f>'t5'!U23+'t5'!V23</f>
        <v>0</v>
      </c>
      <c r="E22" s="313">
        <f>'t6'!U23+'t6'!V23</f>
        <v>0</v>
      </c>
      <c r="F22" s="313">
        <f>'t4'!$S$35</f>
        <v>0</v>
      </c>
      <c r="G22" s="313">
        <f>C22-D22+E22+F22</f>
        <v>0</v>
      </c>
      <c r="H22" s="313">
        <f>'t4'!W31</f>
        <v>0</v>
      </c>
      <c r="I22" s="92" t="str">
        <f>IF(H22&lt;=G22,"OK","ERRORE")</f>
        <v>OK</v>
      </c>
    </row>
    <row r="23" spans="1:9" ht="14.1" customHeight="1" x14ac:dyDescent="0.2">
      <c r="A23" s="118" t="str">
        <f>'t1'!A23</f>
        <v>ASSISTENTI</v>
      </c>
      <c r="B23" s="163" t="str">
        <f>'t1'!B23</f>
        <v>0AS000</v>
      </c>
      <c r="C23" s="312">
        <f>'t1'!C23+'t1'!D23</f>
        <v>0</v>
      </c>
      <c r="D23" s="312">
        <f>'t5'!U24+'t5'!V24</f>
        <v>0</v>
      </c>
      <c r="E23" s="313">
        <f>'t6'!U24+'t6'!V24</f>
        <v>0</v>
      </c>
      <c r="F23" s="313">
        <f>'t4'!$T$35</f>
        <v>0</v>
      </c>
      <c r="G23" s="313">
        <f>C23-D23+E23+F23</f>
        <v>0</v>
      </c>
      <c r="H23" s="313">
        <f>'t4'!W32</f>
        <v>0</v>
      </c>
      <c r="I23" s="92" t="str">
        <f>IF(H23&lt;=G23,"OK","ERRORE")</f>
        <v>OK</v>
      </c>
    </row>
    <row r="24" spans="1:9" ht="14.1" customHeight="1" x14ac:dyDescent="0.2">
      <c r="A24" s="118" t="str">
        <f>'t1'!A24</f>
        <v>OPERATORI</v>
      </c>
      <c r="B24" s="163" t="str">
        <f>'t1'!B24</f>
        <v>0OP000</v>
      </c>
      <c r="C24" s="312">
        <f>'t1'!C24+'t1'!D24</f>
        <v>0</v>
      </c>
      <c r="D24" s="312">
        <f>'t5'!U25+'t5'!V25</f>
        <v>0</v>
      </c>
      <c r="E24" s="313">
        <f>'t6'!U25+'t6'!V25</f>
        <v>0</v>
      </c>
      <c r="F24" s="313">
        <f>'t4'!$U$35</f>
        <v>0</v>
      </c>
      <c r="G24" s="313">
        <f t="shared" ref="G24:G25" si="2">C24-D24+E24+F24</f>
        <v>0</v>
      </c>
      <c r="H24" s="313">
        <f>'t4'!W33</f>
        <v>0</v>
      </c>
      <c r="I24" s="92" t="str">
        <f>IF(H24&lt;=G24,"OK","ERRORE")</f>
        <v>OK</v>
      </c>
    </row>
    <row r="25" spans="1:9" ht="14.1" customHeight="1" x14ac:dyDescent="0.2">
      <c r="A25" s="118" t="str">
        <f>'t1'!A25</f>
        <v>CONTRATTISTI</v>
      </c>
      <c r="B25" s="163" t="str">
        <f>'t1'!B25</f>
        <v>000061</v>
      </c>
      <c r="C25" s="312">
        <f>'t1'!C25+'t1'!D25</f>
        <v>0</v>
      </c>
      <c r="D25" s="312">
        <f>'t5'!U26+'t5'!V26</f>
        <v>0</v>
      </c>
      <c r="E25" s="313">
        <f>'t6'!U26+'t6'!V26</f>
        <v>0</v>
      </c>
      <c r="F25" s="313">
        <f>'t4'!$V$35</f>
        <v>0</v>
      </c>
      <c r="G25" s="313">
        <f t="shared" si="2"/>
        <v>0</v>
      </c>
      <c r="H25" s="313">
        <f>'t4'!W34</f>
        <v>0</v>
      </c>
      <c r="I25" s="92" t="str">
        <f t="shared" ref="I25" si="3">IF(H25&lt;=G25,"OK","ERRORE")</f>
        <v>OK</v>
      </c>
    </row>
    <row r="26" spans="1:9" s="319" customFormat="1" ht="15.75" customHeight="1" x14ac:dyDescent="0.2">
      <c r="A26" s="605" t="str">
        <f>'t1'!A26</f>
        <v>TOTALE</v>
      </c>
      <c r="B26" s="183"/>
      <c r="C26" s="336">
        <f t="shared" ref="C26:H26" si="4">SUM(C6:C25)</f>
        <v>0</v>
      </c>
      <c r="D26" s="336">
        <f t="shared" si="4"/>
        <v>0</v>
      </c>
      <c r="E26" s="336">
        <f t="shared" si="4"/>
        <v>0</v>
      </c>
      <c r="F26" s="336">
        <f t="shared" si="4"/>
        <v>0</v>
      </c>
      <c r="G26" s="336">
        <f t="shared" si="4"/>
        <v>0</v>
      </c>
      <c r="H26" s="336">
        <f t="shared" si="4"/>
        <v>0</v>
      </c>
      <c r="I26" s="156" t="str">
        <f>IF(H26&lt;=G26,"OK","ERRORE")</f>
        <v>OK</v>
      </c>
    </row>
  </sheetData>
  <sheetProtection algorithmName="SHA-512" hashValue="t0P+EyH0HAiHErPJOwO4amI2UoMKOKe4pxhlS6WsY20cO/fAUxXLIT45yuw7kd53egf0yYA379KbSwkZTRxY5w==" saltValue="CzyrXD+X8uedwTsg8q3ILw==" spinCount="100000" sheet="1" formatColumns="0" selectLockedCells="1" selectUnlockedCells="1"/>
  <mergeCells count="2">
    <mergeCell ref="D2:I2"/>
    <mergeCell ref="A1:G1"/>
  </mergeCells>
  <phoneticPr fontId="30" type="noConversion"/>
  <printOptions horizontalCentered="1" verticalCentered="1"/>
  <pageMargins left="0" right="0" top="0.15748031496062992" bottom="0.15748031496062992" header="0.19685039370078741" footer="0.19685039370078741"/>
  <pageSetup paperSize="9" scale="80" orientation="landscape" horizontalDpi="300" verticalDpi="4294967292"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glio32">
    <pageSetUpPr fitToPage="1"/>
  </sheetPr>
  <dimension ref="A1:H13"/>
  <sheetViews>
    <sheetView showGridLines="0" zoomScale="80" zoomScaleNormal="80" workbookViewId="0">
      <selection activeCell="J1" sqref="J1"/>
    </sheetView>
  </sheetViews>
  <sheetFormatPr defaultColWidth="9.28515625" defaultRowHeight="10.199999999999999" x14ac:dyDescent="0.2"/>
  <cols>
    <col min="1" max="1" width="3" style="3" customWidth="1"/>
    <col min="2" max="2" width="54.140625" style="3" customWidth="1"/>
    <col min="3" max="8" width="23.7109375" style="2" customWidth="1"/>
    <col min="9" max="16384" width="9.28515625" style="3"/>
  </cols>
  <sheetData>
    <row r="1" spans="1:8" ht="43.5" customHeight="1" x14ac:dyDescent="0.2">
      <c r="A1" s="1178" t="str">
        <f>'t1'!A1</f>
        <v>ENTI PUBBLICI NON ECONOMICI - anno 2023</v>
      </c>
      <c r="B1" s="1178"/>
      <c r="C1" s="1178"/>
      <c r="D1" s="1178"/>
      <c r="E1" s="1178"/>
      <c r="F1" s="1178"/>
      <c r="G1" s="1178"/>
      <c r="H1" s="1178"/>
    </row>
    <row r="2" spans="1:8" ht="21" customHeight="1" x14ac:dyDescent="0.25">
      <c r="A2" s="173" t="s">
        <v>882</v>
      </c>
      <c r="B2" s="173"/>
      <c r="G2" s="3"/>
      <c r="H2" s="3"/>
    </row>
    <row r="3" spans="1:8" ht="21" customHeight="1" thickBot="1" x14ac:dyDescent="0.25">
      <c r="C3" s="3"/>
      <c r="D3" s="3"/>
      <c r="E3" s="3"/>
      <c r="F3" s="3"/>
      <c r="G3" s="3"/>
      <c r="H3" s="3"/>
    </row>
    <row r="4" spans="1:8" ht="70.2" customHeight="1" thickBot="1" x14ac:dyDescent="0.25">
      <c r="A4" s="1179" t="s">
        <v>883</v>
      </c>
      <c r="B4" s="887"/>
      <c r="C4" s="1595" t="str">
        <f>IF(ABS(SUM('t15(1)'!G:G))+ABS(SUM('t15(2)'!G:G))+ABS(SUM('t15(3)'!G:G))+ABS(SUM('t15(4)'!G:G))+ABS(SUM('t15(5)'!G:G))=0,"OK",IF(H8&gt;H9+1000,"Attenzione, il limite 2016 (€ "&amp;TEXT(H9,"#.##0")&amp;") risulta non rispettato per il complesso dell'amministrazione (€ "&amp;TEXT(H8,"#.##0")&amp;")","OK"))</f>
        <v>OK</v>
      </c>
      <c r="D4" s="1595"/>
      <c r="E4" s="1595"/>
      <c r="F4" s="1595"/>
      <c r="G4" s="1595"/>
      <c r="H4" s="1595"/>
    </row>
    <row r="5" spans="1:8" ht="49.5" customHeight="1" thickBot="1" x14ac:dyDescent="0.25">
      <c r="A5" s="878" t="s">
        <v>654</v>
      </c>
      <c r="B5" s="885"/>
      <c r="C5" s="886" t="s">
        <v>884</v>
      </c>
      <c r="D5" s="886" t="s">
        <v>885</v>
      </c>
      <c r="E5" s="886" t="s">
        <v>886</v>
      </c>
      <c r="F5" s="886" t="s">
        <v>887</v>
      </c>
      <c r="G5" s="886" t="s">
        <v>888</v>
      </c>
      <c r="H5" s="886" t="s">
        <v>889</v>
      </c>
    </row>
    <row r="6" spans="1:8" s="93" customFormat="1" ht="20.100000000000001" customHeight="1" x14ac:dyDescent="0.2">
      <c r="A6" s="1180" t="s">
        <v>890</v>
      </c>
      <c r="B6" s="1181" t="s">
        <v>891</v>
      </c>
      <c r="C6" s="1182">
        <f>'t15(1)'!C40</f>
        <v>0</v>
      </c>
      <c r="D6" s="1182">
        <f>'t15(2)'!C43</f>
        <v>0</v>
      </c>
      <c r="E6" s="1182">
        <f>'t15(3)'!C42</f>
        <v>0</v>
      </c>
      <c r="F6" s="1182">
        <f>'t15(4)'!C44</f>
        <v>0</v>
      </c>
      <c r="G6" s="1182">
        <f>'t15(5)'!C52</f>
        <v>0</v>
      </c>
      <c r="H6" s="884">
        <f>SUM(C6:G6)</f>
        <v>0</v>
      </c>
    </row>
    <row r="7" spans="1:8" s="93" customFormat="1" ht="20.100000000000001" customHeight="1" x14ac:dyDescent="0.2">
      <c r="A7" s="1183" t="s">
        <v>892</v>
      </c>
      <c r="B7" s="1184" t="s">
        <v>893</v>
      </c>
      <c r="C7" s="1185">
        <f>'SICI(1)'!F21</f>
        <v>0</v>
      </c>
      <c r="D7" s="1185">
        <f>'SICI(2)'!F25</f>
        <v>0</v>
      </c>
      <c r="E7" s="1185">
        <f>'SICI(3)'!F25</f>
        <v>0</v>
      </c>
      <c r="F7" s="1185">
        <f>'SICI(4)'!F25</f>
        <v>0</v>
      </c>
      <c r="G7" s="1185">
        <f>'SICI(5)'!F29</f>
        <v>0</v>
      </c>
      <c r="H7" s="871">
        <f>SUM(C7:G7)</f>
        <v>0</v>
      </c>
    </row>
    <row r="8" spans="1:8" s="872" customFormat="1" ht="20.100000000000001" customHeight="1" x14ac:dyDescent="0.2">
      <c r="A8" s="1186" t="s">
        <v>894</v>
      </c>
      <c r="B8" s="1187" t="s">
        <v>895</v>
      </c>
      <c r="C8" s="1188">
        <f>C6-C7</f>
        <v>0</v>
      </c>
      <c r="D8" s="1188">
        <f>D6-D7</f>
        <v>0</v>
      </c>
      <c r="E8" s="1188">
        <f>E6-E7</f>
        <v>0</v>
      </c>
      <c r="F8" s="1188">
        <f>F6-F7</f>
        <v>0</v>
      </c>
      <c r="G8" s="1188">
        <f>G6-G7</f>
        <v>0</v>
      </c>
      <c r="H8" s="883">
        <f>SUM(C8:G8)</f>
        <v>0</v>
      </c>
    </row>
    <row r="9" spans="1:8" s="93" customFormat="1" ht="20.100000000000001" customHeight="1" x14ac:dyDescent="0.2">
      <c r="A9" s="1183" t="s">
        <v>896</v>
      </c>
      <c r="B9" s="1189" t="s">
        <v>897</v>
      </c>
      <c r="C9" s="1190">
        <f>'SICI(1)'!F19</f>
        <v>0</v>
      </c>
      <c r="D9" s="1190">
        <f>'SICI(2)'!F23</f>
        <v>0</v>
      </c>
      <c r="E9" s="1190">
        <f>'SICI(3)'!F23</f>
        <v>0</v>
      </c>
      <c r="F9" s="1190">
        <f>'SICI(4)'!F23</f>
        <v>0</v>
      </c>
      <c r="G9" s="1190">
        <f>'SICI(5)'!F27</f>
        <v>0</v>
      </c>
      <c r="H9" s="871">
        <f>SUM(C9:G9)</f>
        <v>0</v>
      </c>
    </row>
    <row r="10" spans="1:8" s="93" customFormat="1" ht="40.200000000000003" customHeight="1" x14ac:dyDescent="0.2">
      <c r="A10" s="1183" t="s">
        <v>898</v>
      </c>
      <c r="B10" s="1191" t="s">
        <v>172</v>
      </c>
      <c r="C10" s="1192" t="str">
        <f>IF(SUM(C8:C9)=0,"","Limite 2016 specifica macrocategoria "&amp;IF(C9&gt;=C8,"rispettato","non rispettato"))</f>
        <v/>
      </c>
      <c r="D10" s="1192" t="str">
        <f>IF(SUM(D8:D9)=0,"","Limite 2016 specifica macrocategoria "&amp;IF(D9&gt;=D8,"rispettato","non rispettato"))</f>
        <v/>
      </c>
      <c r="E10" s="1192" t="str">
        <f>IF(SUM(E8:E9)=0,"","Limite 2016 specifica macrocategoria "&amp;IF(E9&gt;=E8,"rispettato","non rispettato"))</f>
        <v/>
      </c>
      <c r="F10" s="1192" t="str">
        <f>IF(SUM(F8:F9)=0,"","Limite 2016 specifica macrocategoria "&amp;IF(F9&gt;=F8,"rispettato","non rispettato"))</f>
        <v/>
      </c>
      <c r="G10" s="1192" t="str">
        <f>IF(SUM(G8:G9)=0,"","Limite 2016 specifica macrocategoria "&amp;IF(G9&gt;=G8,"rispettato","non rispettato"))</f>
        <v/>
      </c>
      <c r="H10" s="873"/>
    </row>
    <row r="12" spans="1:8" ht="11.4" x14ac:dyDescent="0.2">
      <c r="A12" s="3" t="s">
        <v>899</v>
      </c>
    </row>
    <row r="13" spans="1:8" ht="11.4" x14ac:dyDescent="0.2">
      <c r="A13" s="3" t="s">
        <v>900</v>
      </c>
    </row>
  </sheetData>
  <sheetProtection algorithmName="SHA-512" hashValue="dzoQAvUV2UTQgvBg1vlCcRSQzzAV3iultKUciYq7R43lymjvrQkBT5sVhkJ/X4cJKc3+TS5lfDrc40KKZZYBSQ==" saltValue="nzv2xrtw3vhyledOC6NHEw==" spinCount="100000" sheet="1" formatColumns="0" selectLockedCells="1"/>
  <mergeCells count="1">
    <mergeCell ref="C4:H4"/>
  </mergeCells>
  <printOptions horizontalCentered="1"/>
  <pageMargins left="0.39370078740157483" right="0.39370078740157483" top="0.78740157480314965" bottom="0.39370078740157483" header="0.19685039370078741" footer="0.19685039370078741"/>
  <pageSetup paperSize="9" scale="88" orientation="landscape" horizontalDpi="300" verticalDpi="4294967292"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Foglio26"/>
  <dimension ref="A1:M21"/>
  <sheetViews>
    <sheetView showGridLines="0" workbookViewId="0">
      <selection activeCell="B5" sqref="B5"/>
    </sheetView>
  </sheetViews>
  <sheetFormatPr defaultColWidth="9.28515625" defaultRowHeight="10.199999999999999" x14ac:dyDescent="0.2"/>
  <cols>
    <col min="1" max="1" width="65.85546875" style="3" customWidth="1"/>
    <col min="2" max="3" width="19.7109375" style="3" customWidth="1"/>
    <col min="4" max="4" width="26.7109375" style="3" customWidth="1"/>
    <col min="5" max="5" width="25.140625" style="3" customWidth="1"/>
    <col min="6" max="16384" width="9.28515625" style="3"/>
  </cols>
  <sheetData>
    <row r="1" spans="1:13" ht="43.5" customHeight="1" x14ac:dyDescent="0.2">
      <c r="A1" s="1463" t="str">
        <f>'t1'!A1</f>
        <v>ENTI PUBBLICI NON ECONOMICI - anno 2023</v>
      </c>
      <c r="B1" s="1463"/>
      <c r="C1" s="1463"/>
      <c r="D1" s="1463"/>
      <c r="E1" s="286"/>
      <c r="F1" s="289"/>
      <c r="G1" s="289"/>
      <c r="H1" s="289"/>
      <c r="I1" s="289"/>
      <c r="M1"/>
    </row>
    <row r="2" spans="1:13" ht="16.2" thickBot="1" x14ac:dyDescent="0.35">
      <c r="A2" s="753" t="s">
        <v>622</v>
      </c>
      <c r="C2" s="1547"/>
      <c r="D2" s="1547"/>
      <c r="E2" s="1547"/>
      <c r="F2" s="290"/>
      <c r="G2" s="290"/>
      <c r="H2" s="290"/>
      <c r="I2" s="290"/>
      <c r="M2"/>
    </row>
    <row r="3" spans="1:13" ht="30" customHeight="1" thickBot="1" x14ac:dyDescent="0.3">
      <c r="A3" s="1596" t="s">
        <v>623</v>
      </c>
      <c r="B3" s="1597"/>
      <c r="C3" s="1597"/>
      <c r="D3" s="1597"/>
      <c r="E3" s="1598"/>
    </row>
    <row r="4" spans="1:13" s="174" customFormat="1" ht="30.6" x14ac:dyDescent="0.2">
      <c r="A4" s="563" t="s">
        <v>624</v>
      </c>
      <c r="B4" s="564" t="s">
        <v>625</v>
      </c>
      <c r="C4" s="564" t="s">
        <v>216</v>
      </c>
      <c r="D4" s="565" t="s">
        <v>217</v>
      </c>
      <c r="E4" s="566" t="s">
        <v>396</v>
      </c>
    </row>
    <row r="5" spans="1:13" ht="20.25" customHeight="1" x14ac:dyDescent="0.2">
      <c r="A5" s="177" t="s">
        <v>1115</v>
      </c>
      <c r="B5" s="670">
        <f>SI_1!G56</f>
        <v>0</v>
      </c>
      <c r="C5" s="181">
        <f>'t14'!D12</f>
        <v>0</v>
      </c>
      <c r="D5" s="184" t="str">
        <f>IF(B5=0,IF(C5=0,"OK","MANCANO LE UNITA'"),IF(C5=0,"MANCANO LE SPESE","OK"))</f>
        <v>OK</v>
      </c>
      <c r="E5" s="180" t="str">
        <f>IF(AND(B5&gt;0,C5&gt;0),C5/B5," ")</f>
        <v xml:space="preserve"> </v>
      </c>
    </row>
    <row r="6" spans="1:13" ht="20.25" customHeight="1" x14ac:dyDescent="0.2">
      <c r="A6" s="177" t="s">
        <v>1116</v>
      </c>
      <c r="B6" s="670">
        <f>SI_1!G59</f>
        <v>0</v>
      </c>
      <c r="C6" s="181">
        <f>'t14'!D13</f>
        <v>0</v>
      </c>
      <c r="D6" s="184" t="str">
        <f>IF(B6=0,IF(C6=0,"OK","MANCANO LE UNITA'"),IF(C6=0,"MANCANO LE SPESE","OK"))</f>
        <v>OK</v>
      </c>
      <c r="E6" s="180" t="str">
        <f>IF(AND(B6&gt;0,C6&gt;0),C6/B6," ")</f>
        <v xml:space="preserve"> </v>
      </c>
    </row>
    <row r="7" spans="1:13" ht="20.25" customHeight="1" thickBot="1" x14ac:dyDescent="0.25">
      <c r="A7" s="178" t="s">
        <v>2</v>
      </c>
      <c r="B7" s="671">
        <f>SI_1!G62</f>
        <v>0</v>
      </c>
      <c r="C7" s="182">
        <f>'t14'!D14</f>
        <v>0</v>
      </c>
      <c r="D7" s="185" t="str">
        <f>IF(B7=0,IF(C7=0,"OK","MANCANO LE UNITA'"),IF(C7=0,"MANCANO LE SPESE","OK"))</f>
        <v>OK</v>
      </c>
      <c r="E7" s="450" t="str">
        <f>IF(AND(B7&gt;0,C7&gt;0),C7/B7," ")</f>
        <v xml:space="preserve"> </v>
      </c>
    </row>
    <row r="10" spans="1:13" ht="16.2" thickBot="1" x14ac:dyDescent="0.35">
      <c r="A10" s="754" t="s">
        <v>626</v>
      </c>
    </row>
    <row r="11" spans="1:13" ht="30" customHeight="1" thickBot="1" x14ac:dyDescent="0.3">
      <c r="A11" s="1596" t="s">
        <v>627</v>
      </c>
      <c r="B11" s="1597"/>
      <c r="C11" s="1597"/>
      <c r="D11" s="1597"/>
      <c r="E11" s="1598"/>
    </row>
    <row r="12" spans="1:13" s="174" customFormat="1" ht="31.2" thickBot="1" x14ac:dyDescent="0.25">
      <c r="A12" s="563" t="s">
        <v>628</v>
      </c>
      <c r="B12" s="564" t="s">
        <v>629</v>
      </c>
      <c r="C12" s="564" t="s">
        <v>216</v>
      </c>
      <c r="D12" s="565" t="s">
        <v>217</v>
      </c>
      <c r="E12" s="566" t="s">
        <v>396</v>
      </c>
    </row>
    <row r="13" spans="1:13" ht="20.25" customHeight="1" x14ac:dyDescent="0.2">
      <c r="A13" s="447" t="s">
        <v>176</v>
      </c>
      <c r="B13" s="669">
        <f>'t2'!C13+'t2'!D13</f>
        <v>0</v>
      </c>
      <c r="C13" s="448">
        <f>'t14'!D16</f>
        <v>0</v>
      </c>
      <c r="D13" s="449" t="str">
        <f>IF(B13=0,IF(C13=0,"OK","MANCANO LE UNITA'"),IF(C13=0,"MANCANO LE SPESE","OK"))</f>
        <v>OK</v>
      </c>
      <c r="E13" s="179" t="str">
        <f>IF(AND(B13&gt;0,C13&gt;0),C13/B13," ")</f>
        <v xml:space="preserve"> </v>
      </c>
    </row>
    <row r="14" spans="1:13" ht="20.25" customHeight="1" x14ac:dyDescent="0.2">
      <c r="A14" s="177" t="s">
        <v>177</v>
      </c>
      <c r="B14" s="670">
        <f>'t2'!E13+'t2'!F13</f>
        <v>0</v>
      </c>
      <c r="C14" s="181">
        <f>'t14'!D17</f>
        <v>0</v>
      </c>
      <c r="D14" s="184" t="str">
        <f>IF(B14=0,IF(C14=0,"OK","MANCANO LE UNITA'"),IF(C14=0,"MANCANO LE SPESE","OK"))</f>
        <v>OK</v>
      </c>
      <c r="E14" s="180" t="str">
        <f>IF(AND(B14&gt;0,C14&gt;0),C14/B14," ")</f>
        <v xml:space="preserve"> </v>
      </c>
    </row>
    <row r="15" spans="1:13" ht="20.25" customHeight="1" x14ac:dyDescent="0.2">
      <c r="A15" s="177" t="s">
        <v>46</v>
      </c>
      <c r="B15" s="670">
        <f>'t2'!G13+'t2'!H13</f>
        <v>0</v>
      </c>
      <c r="C15" s="181">
        <f>'t14'!D23</f>
        <v>0</v>
      </c>
      <c r="D15" s="184" t="str">
        <f>IF(B15=0,IF(C15=0,"OK","MANCANO LE UNITA'"),IF(C15=0,"MANCANO LE SPESE","OK"))</f>
        <v>OK</v>
      </c>
      <c r="E15" s="180" t="str">
        <f>IF(AND(B15&gt;0,C15&gt;0),C15/B15," ")</f>
        <v xml:space="preserve"> </v>
      </c>
    </row>
    <row r="16" spans="1:13" ht="20.25" customHeight="1" x14ac:dyDescent="0.2">
      <c r="A16" s="177" t="s">
        <v>178</v>
      </c>
      <c r="B16" s="670">
        <f>'t2'!I13+'t2'!J13</f>
        <v>0</v>
      </c>
      <c r="C16" s="181">
        <f>'t14'!D24</f>
        <v>0</v>
      </c>
      <c r="D16" s="184" t="str">
        <f>IF(B16=0,IF(C16=0,"OK","MANCANO LE UNITA'"),IF(C16=0,"MANCANO LE SPESE","OK"))</f>
        <v>OK</v>
      </c>
      <c r="E16" s="180" t="str">
        <f>IF(AND(B16&gt;0,C16&gt;0),C16/B16," ")</f>
        <v xml:space="preserve"> </v>
      </c>
    </row>
    <row r="17" spans="1:5" ht="14.1" customHeight="1" thickBot="1" x14ac:dyDescent="0.3">
      <c r="A17" s="755"/>
      <c r="B17" s="756"/>
      <c r="C17" s="756"/>
      <c r="D17" s="756"/>
      <c r="E17" s="757"/>
    </row>
    <row r="18" spans="1:5" s="174" customFormat="1" ht="30.6" x14ac:dyDescent="0.2">
      <c r="A18" s="452" t="s">
        <v>394</v>
      </c>
      <c r="B18" s="453" t="s">
        <v>395</v>
      </c>
      <c r="C18" s="453" t="s">
        <v>216</v>
      </c>
      <c r="D18" s="454" t="s">
        <v>398</v>
      </c>
      <c r="E18" s="580" t="s">
        <v>397</v>
      </c>
    </row>
    <row r="19" spans="1:5" ht="27.75" customHeight="1" x14ac:dyDescent="0.2">
      <c r="A19" s="562" t="str">
        <f>'t14'!A10</f>
        <v>SOMME CORRISPOSTE AD AGENZIA DI SOMMINISTRAZIONE(INTERINALI)</v>
      </c>
      <c r="B19" s="92" t="str">
        <f>'t14'!B10</f>
        <v>L105</v>
      </c>
      <c r="C19" s="598">
        <f>'t14'!D10</f>
        <v>0</v>
      </c>
      <c r="D19" s="581" t="str">
        <f>(IF(AND(C19=0,C20&gt;0),"INSERIRE SOMME SPETTANTI ALL'AGENZIA (L105)","OK"))</f>
        <v>OK</v>
      </c>
      <c r="E19" s="1599" t="str">
        <f>(IF(AND(C19&gt;0,C20&gt;0),C19/C20," "))</f>
        <v xml:space="preserve"> </v>
      </c>
    </row>
    <row r="20" spans="1:5" ht="27.75" customHeight="1" x14ac:dyDescent="0.2">
      <c r="A20" s="567" t="str">
        <f>'t14'!A23</f>
        <v>ONERI PER I CONTRATTI DI SOMMINISTRAZIONE(INTERINALI)</v>
      </c>
      <c r="B20" s="568" t="str">
        <f>'t14'!B23</f>
        <v>P062</v>
      </c>
      <c r="C20" s="599">
        <f>'t14'!D23</f>
        <v>0</v>
      </c>
      <c r="D20" s="582" t="str">
        <f>(IF(AND(C20=0,C19&gt;0),"INSERIRE RETRIBUZIONI PER INTERINALI (P062)","OK"))</f>
        <v>OK</v>
      </c>
      <c r="E20" s="1600"/>
    </row>
    <row r="21" spans="1:5" ht="40.5" customHeight="1" thickBot="1" x14ac:dyDescent="0.25">
      <c r="A21" s="1602" t="s">
        <v>407</v>
      </c>
      <c r="B21" s="1603"/>
      <c r="C21" s="1604"/>
      <c r="D21" s="583" t="str">
        <f>(IF(AND(C19&gt;0,C20&gt;0),IF(C19&gt;(C20/100*30),"ATTENZIONE: la voce L105 supera il 30% della voce P062. L'IN1 andrà giustificata","OK"),"OK"))</f>
        <v>OK</v>
      </c>
      <c r="E21" s="1601"/>
    </row>
  </sheetData>
  <sheetProtection algorithmName="SHA-512" hashValue="l4FNi1rS8/gUFdv9fFE0cZYm9uZilsa0DE8xkjfw9/Inp4BEvU0YcA+MuxENXo+V55VYHmBE97QnGvRifnPQAg==" saltValue="l4ZE00Z8noj4Pu7ZeIe52w==" spinCount="100000" sheet="1" formatColumns="0" selectLockedCells="1" selectUnlockedCells="1"/>
  <mergeCells count="6">
    <mergeCell ref="A3:E3"/>
    <mergeCell ref="A1:D1"/>
    <mergeCell ref="C2:E2"/>
    <mergeCell ref="E19:E21"/>
    <mergeCell ref="A21:C21"/>
    <mergeCell ref="A11:E11"/>
  </mergeCells>
  <phoneticPr fontId="30" type="noConversion"/>
  <conditionalFormatting sqref="D5:D7 D13:D16 D19:D21">
    <cfRule type="notContainsText" dxfId="34" priority="1" stopIfTrue="1" operator="notContains" text="ok">
      <formula>ISERROR(SEARCH("ok",D5))</formula>
    </cfRule>
  </conditionalFormatting>
  <printOptions horizontalCentered="1" verticalCentered="1"/>
  <pageMargins left="0" right="0" top="0.19685039370078741" bottom="0.31496062992125984" header="0.51181102362204722" footer="0.51181102362204722"/>
  <pageSetup paperSize="9" scale="90" orientation="landscape" horizontalDpi="300" verticalDpi="4294967292"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Foglio27"/>
  <dimension ref="A1:M25"/>
  <sheetViews>
    <sheetView showGridLines="0" workbookViewId="0">
      <pane ySplit="5" topLeftCell="A6" activePane="bottomLeft" state="frozen"/>
      <selection activeCell="A2" sqref="A2"/>
      <selection pane="bottomLeft" activeCell="B5" sqref="B5"/>
    </sheetView>
  </sheetViews>
  <sheetFormatPr defaultRowHeight="10.199999999999999" x14ac:dyDescent="0.2"/>
  <cols>
    <col min="1" max="1" width="38.7109375" style="3" customWidth="1"/>
    <col min="2" max="2" width="11.28515625" style="2" customWidth="1"/>
    <col min="3" max="3" width="13.140625" style="2" customWidth="1"/>
    <col min="4" max="4" width="17.7109375" style="2" customWidth="1"/>
    <col min="5" max="6" width="15.7109375" style="2" customWidth="1"/>
    <col min="7" max="8" width="15.7109375" style="95" customWidth="1"/>
    <col min="9" max="9" width="18.28515625" style="95" customWidth="1"/>
    <col min="10" max="10" width="9.28515625" style="95" customWidth="1"/>
  </cols>
  <sheetData>
    <row r="1" spans="1:13" s="3" customFormat="1" ht="43.5" customHeight="1" x14ac:dyDescent="0.2">
      <c r="A1" s="1463" t="str">
        <f>'t1'!A1</f>
        <v>ENTI PUBBLICI NON ECONOMICI - anno 2023</v>
      </c>
      <c r="B1" s="1463"/>
      <c r="C1" s="1463"/>
      <c r="D1" s="1463"/>
      <c r="E1" s="1463"/>
      <c r="F1" s="1463"/>
      <c r="G1" s="1463"/>
      <c r="H1" s="1463"/>
      <c r="I1" s="286"/>
      <c r="M1"/>
    </row>
    <row r="2" spans="1:13" s="3" customFormat="1" ht="21" customHeight="1" x14ac:dyDescent="0.2">
      <c r="D2" s="1547"/>
      <c r="E2" s="1547"/>
      <c r="F2" s="1547"/>
      <c r="G2" s="1547"/>
      <c r="H2" s="1547"/>
      <c r="I2" s="1547"/>
      <c r="J2" s="290"/>
      <c r="M2"/>
    </row>
    <row r="3" spans="1:13" s="3" customFormat="1" ht="21" customHeight="1" x14ac:dyDescent="0.25">
      <c r="A3" s="173" t="s">
        <v>244</v>
      </c>
      <c r="B3" s="2"/>
      <c r="F3" s="2"/>
    </row>
    <row r="4" spans="1:13" ht="51" x14ac:dyDescent="0.2">
      <c r="A4" s="160" t="s">
        <v>218</v>
      </c>
      <c r="B4" s="161" t="s">
        <v>180</v>
      </c>
      <c r="C4" s="161" t="s">
        <v>219</v>
      </c>
      <c r="D4" s="161" t="s">
        <v>223</v>
      </c>
      <c r="E4" s="161" t="s">
        <v>224</v>
      </c>
      <c r="F4" s="161" t="s">
        <v>225</v>
      </c>
      <c r="G4" s="161" t="s">
        <v>179</v>
      </c>
      <c r="H4" s="161" t="s">
        <v>226</v>
      </c>
      <c r="I4" s="161" t="s">
        <v>366</v>
      </c>
    </row>
    <row r="5" spans="1:13" s="176" customFormat="1" x14ac:dyDescent="0.2">
      <c r="A5" s="159"/>
      <c r="B5" s="171"/>
      <c r="C5" s="171" t="s">
        <v>182</v>
      </c>
      <c r="D5" s="171" t="s">
        <v>183</v>
      </c>
      <c r="E5" s="171" t="s">
        <v>220</v>
      </c>
      <c r="F5" s="171" t="s">
        <v>185</v>
      </c>
      <c r="G5" s="171" t="s">
        <v>221</v>
      </c>
      <c r="H5" s="171" t="s">
        <v>222</v>
      </c>
      <c r="I5" s="171" t="s">
        <v>367</v>
      </c>
      <c r="J5" s="175"/>
    </row>
    <row r="6" spans="1:13" ht="13.2" x14ac:dyDescent="0.25">
      <c r="A6" s="118" t="str">
        <f>'t1'!A6</f>
        <v>DIRETTORE GENERALE</v>
      </c>
      <c r="B6" s="92" t="str">
        <f>'t1'!B6</f>
        <v>0D0097</v>
      </c>
      <c r="C6" s="314">
        <f>'t12'!C6</f>
        <v>0</v>
      </c>
      <c r="D6" s="315">
        <f>'t12'!D6</f>
        <v>0</v>
      </c>
      <c r="E6" s="316" t="str">
        <f>IF(C6=0," ",D6/C6*12)</f>
        <v xml:space="preserve"> </v>
      </c>
      <c r="F6" s="335">
        <v>0</v>
      </c>
      <c r="G6" s="316" t="str">
        <f t="shared" ref="G6:G20" si="0">IF(E6=" "," ",E6-F6)</f>
        <v xml:space="preserve"> </v>
      </c>
      <c r="H6" s="317" t="str">
        <f t="shared" ref="H6:H20" si="1">IF(E6=" "," ",IF(F6=0," ",G6/F6))</f>
        <v xml:space="preserve"> </v>
      </c>
      <c r="I6" s="296" t="str">
        <f>IF(E6=" "," ",IF(F6=0," ",IF(ABS(H6)&gt;0.02,"ERRORE","OK")))</f>
        <v xml:space="preserve"> </v>
      </c>
    </row>
    <row r="7" spans="1:13" ht="13.2" x14ac:dyDescent="0.25">
      <c r="A7" s="118" t="str">
        <f>'t1'!A7</f>
        <v>DIRIGENTE I FASCIA</v>
      </c>
      <c r="B7" s="92" t="str">
        <f>'t1'!B7</f>
        <v>0D0077</v>
      </c>
      <c r="C7" s="314">
        <f>'t12'!C7</f>
        <v>0</v>
      </c>
      <c r="D7" s="315">
        <f>'t12'!D7</f>
        <v>0</v>
      </c>
      <c r="E7" s="316" t="str">
        <f t="shared" ref="E7:E20" si="2">IF(C7=0," ",D7/C7*12)</f>
        <v xml:space="preserve"> </v>
      </c>
      <c r="F7" s="335" t="s">
        <v>1101</v>
      </c>
      <c r="G7" s="316" t="str">
        <f t="shared" si="0"/>
        <v xml:space="preserve"> </v>
      </c>
      <c r="H7" s="317" t="str">
        <f t="shared" si="1"/>
        <v xml:space="preserve"> </v>
      </c>
      <c r="I7" s="296" t="str">
        <f t="shared" ref="I7:I20" si="3">IF(E7=" "," ",IF(F7=0," ",IF(ABS(H7)&gt;0.02,"ERRORE","OK")))</f>
        <v xml:space="preserve"> </v>
      </c>
    </row>
    <row r="8" spans="1:13" ht="13.2" x14ac:dyDescent="0.25">
      <c r="A8" s="118" t="str">
        <f>'t1'!A8</f>
        <v>DIRIGENTE I FASCIA A TEMPO DETERM.</v>
      </c>
      <c r="B8" s="92" t="str">
        <f>'t1'!B8</f>
        <v>0D0078</v>
      </c>
      <c r="C8" s="314">
        <f>'t12'!C8</f>
        <v>0</v>
      </c>
      <c r="D8" s="315">
        <f>'t12'!D8</f>
        <v>0</v>
      </c>
      <c r="E8" s="316" t="str">
        <f t="shared" si="2"/>
        <v xml:space="preserve"> </v>
      </c>
      <c r="F8" s="335" t="s">
        <v>1101</v>
      </c>
      <c r="G8" s="316" t="str">
        <f t="shared" si="0"/>
        <v xml:space="preserve"> </v>
      </c>
      <c r="H8" s="317" t="str">
        <f t="shared" si="1"/>
        <v xml:space="preserve"> </v>
      </c>
      <c r="I8" s="296" t="str">
        <f t="shared" si="3"/>
        <v xml:space="preserve"> </v>
      </c>
    </row>
    <row r="9" spans="1:13" ht="13.2" x14ac:dyDescent="0.25">
      <c r="A9" s="118" t="str">
        <f>'t1'!A9</f>
        <v>DIRIGENTE II FASCIA</v>
      </c>
      <c r="B9" s="92" t="str">
        <f>'t1'!B9</f>
        <v>0D0079</v>
      </c>
      <c r="C9" s="314">
        <f>'t12'!C9</f>
        <v>0</v>
      </c>
      <c r="D9" s="315">
        <f>'t12'!D9</f>
        <v>0</v>
      </c>
      <c r="E9" s="316" t="str">
        <f t="shared" si="2"/>
        <v xml:space="preserve"> </v>
      </c>
      <c r="F9" s="335" t="s">
        <v>1102</v>
      </c>
      <c r="G9" s="316" t="str">
        <f t="shared" si="0"/>
        <v xml:space="preserve"> </v>
      </c>
      <c r="H9" s="317" t="str">
        <f t="shared" si="1"/>
        <v xml:space="preserve"> </v>
      </c>
      <c r="I9" s="296" t="str">
        <f t="shared" si="3"/>
        <v xml:space="preserve"> </v>
      </c>
    </row>
    <row r="10" spans="1:13" ht="13.2" x14ac:dyDescent="0.25">
      <c r="A10" s="118" t="str">
        <f>'t1'!A10</f>
        <v>DIRIGENTE II FASCIA A TEMPO DETERM.</v>
      </c>
      <c r="B10" s="92" t="str">
        <f>'t1'!B10</f>
        <v>0D0080</v>
      </c>
      <c r="C10" s="314">
        <f>'t12'!C10</f>
        <v>0</v>
      </c>
      <c r="D10" s="315">
        <f>'t12'!D10</f>
        <v>0</v>
      </c>
      <c r="E10" s="316" t="str">
        <f t="shared" si="2"/>
        <v xml:space="preserve"> </v>
      </c>
      <c r="F10" s="335" t="s">
        <v>1102</v>
      </c>
      <c r="G10" s="316" t="str">
        <f t="shared" si="0"/>
        <v xml:space="preserve"> </v>
      </c>
      <c r="H10" s="317" t="str">
        <f t="shared" si="1"/>
        <v xml:space="preserve"> </v>
      </c>
      <c r="I10" s="296" t="str">
        <f t="shared" si="3"/>
        <v xml:space="preserve"> </v>
      </c>
    </row>
    <row r="11" spans="1:13" ht="13.2" x14ac:dyDescent="0.25">
      <c r="A11" s="118" t="str">
        <f>'t1'!A11</f>
        <v>MEDICO II FASCIA T.P.</v>
      </c>
      <c r="B11" s="92" t="str">
        <f>'t1'!B11</f>
        <v>0D0584</v>
      </c>
      <c r="C11" s="314">
        <f>'t12'!C11</f>
        <v>0</v>
      </c>
      <c r="D11" s="315">
        <f>'t12'!D11</f>
        <v>0</v>
      </c>
      <c r="E11" s="316" t="str">
        <f t="shared" si="2"/>
        <v xml:space="preserve"> </v>
      </c>
      <c r="F11" s="335" t="s">
        <v>1103</v>
      </c>
      <c r="G11" s="316" t="str">
        <f t="shared" si="0"/>
        <v xml:space="preserve"> </v>
      </c>
      <c r="H11" s="317" t="str">
        <f t="shared" si="1"/>
        <v xml:space="preserve"> </v>
      </c>
      <c r="I11" s="296" t="str">
        <f t="shared" si="3"/>
        <v xml:space="preserve"> </v>
      </c>
    </row>
    <row r="12" spans="1:13" ht="13.2" x14ac:dyDescent="0.25">
      <c r="A12" s="118" t="str">
        <f>'t1'!A12</f>
        <v>MEDICO I FASCIA T.P.</v>
      </c>
      <c r="B12" s="92" t="str">
        <f>'t1'!B12</f>
        <v>0D0585</v>
      </c>
      <c r="C12" s="314">
        <f>'t12'!C12</f>
        <v>0</v>
      </c>
      <c r="D12" s="315">
        <f>'t12'!D12</f>
        <v>0</v>
      </c>
      <c r="E12" s="316" t="str">
        <f t="shared" si="2"/>
        <v xml:space="preserve"> </v>
      </c>
      <c r="F12" s="335" t="s">
        <v>1104</v>
      </c>
      <c r="G12" s="316" t="str">
        <f t="shared" si="0"/>
        <v xml:space="preserve"> </v>
      </c>
      <c r="H12" s="317" t="str">
        <f t="shared" si="1"/>
        <v xml:space="preserve"> </v>
      </c>
      <c r="I12" s="296" t="str">
        <f t="shared" si="3"/>
        <v xml:space="preserve"> </v>
      </c>
    </row>
    <row r="13" spans="1:13" ht="13.2" x14ac:dyDescent="0.25">
      <c r="A13" s="118" t="str">
        <f>'t1'!A13</f>
        <v>MEDICO II FASCIA T.D.</v>
      </c>
      <c r="B13" s="92" t="str">
        <f>'t1'!B13</f>
        <v>0D0586</v>
      </c>
      <c r="C13" s="314">
        <f>'t12'!C13</f>
        <v>0</v>
      </c>
      <c r="D13" s="315">
        <f>'t12'!D13</f>
        <v>0</v>
      </c>
      <c r="E13" s="316" t="str">
        <f t="shared" si="2"/>
        <v xml:space="preserve"> </v>
      </c>
      <c r="F13" s="335" t="s">
        <v>1105</v>
      </c>
      <c r="G13" s="316" t="str">
        <f t="shared" si="0"/>
        <v xml:space="preserve"> </v>
      </c>
      <c r="H13" s="317" t="str">
        <f t="shared" si="1"/>
        <v xml:space="preserve"> </v>
      </c>
      <c r="I13" s="296" t="str">
        <f t="shared" si="3"/>
        <v xml:space="preserve"> </v>
      </c>
    </row>
    <row r="14" spans="1:13" ht="13.2" x14ac:dyDescent="0.25">
      <c r="A14" s="118" t="str">
        <f>'t1'!A14</f>
        <v>MEDICO I FASCIA T.D.</v>
      </c>
      <c r="B14" s="92" t="str">
        <f>'t1'!B14</f>
        <v>0D0496</v>
      </c>
      <c r="C14" s="314">
        <f>'t12'!C14</f>
        <v>0</v>
      </c>
      <c r="D14" s="315">
        <f>'t12'!D14</f>
        <v>0</v>
      </c>
      <c r="E14" s="316" t="str">
        <f t="shared" si="2"/>
        <v xml:space="preserve"> </v>
      </c>
      <c r="F14" s="335" t="s">
        <v>1106</v>
      </c>
      <c r="G14" s="316" t="str">
        <f t="shared" si="0"/>
        <v xml:space="preserve"> </v>
      </c>
      <c r="H14" s="317" t="str">
        <f t="shared" si="1"/>
        <v xml:space="preserve"> </v>
      </c>
      <c r="I14" s="296" t="str">
        <f t="shared" si="3"/>
        <v xml:space="preserve"> </v>
      </c>
    </row>
    <row r="15" spans="1:13" ht="13.2" x14ac:dyDescent="0.25">
      <c r="A15" s="118" t="str">
        <f>'t1'!A15</f>
        <v>PROF.STI LEGALI LIV. II DIFF.</v>
      </c>
      <c r="B15" s="92" t="str">
        <f>'t1'!B15</f>
        <v>0D0473</v>
      </c>
      <c r="C15" s="314">
        <f>'t12'!C15</f>
        <v>0</v>
      </c>
      <c r="D15" s="315">
        <f>'t12'!D15</f>
        <v>0</v>
      </c>
      <c r="E15" s="316" t="str">
        <f t="shared" si="2"/>
        <v xml:space="preserve"> </v>
      </c>
      <c r="F15" s="335" t="s">
        <v>1123</v>
      </c>
      <c r="G15" s="316" t="str">
        <f t="shared" si="0"/>
        <v xml:space="preserve"> </v>
      </c>
      <c r="H15" s="317" t="str">
        <f t="shared" si="1"/>
        <v xml:space="preserve"> </v>
      </c>
      <c r="I15" s="296" t="str">
        <f t="shared" si="3"/>
        <v xml:space="preserve"> </v>
      </c>
    </row>
    <row r="16" spans="1:13" ht="13.2" x14ac:dyDescent="0.25">
      <c r="A16" s="118" t="str">
        <f>'t1'!A16</f>
        <v>PROF.STI LEGALI LIV. I DIFF.</v>
      </c>
      <c r="B16" s="92" t="str">
        <f>'t1'!B16</f>
        <v>0D0472</v>
      </c>
      <c r="C16" s="314">
        <f>'t12'!C16</f>
        <v>0</v>
      </c>
      <c r="D16" s="315">
        <f>'t12'!D16</f>
        <v>0</v>
      </c>
      <c r="E16" s="316" t="str">
        <f t="shared" si="2"/>
        <v xml:space="preserve"> </v>
      </c>
      <c r="F16" s="335" t="s">
        <v>1107</v>
      </c>
      <c r="G16" s="316" t="str">
        <f t="shared" si="0"/>
        <v xml:space="preserve"> </v>
      </c>
      <c r="H16" s="317" t="str">
        <f t="shared" si="1"/>
        <v xml:space="preserve"> </v>
      </c>
      <c r="I16" s="296" t="str">
        <f t="shared" si="3"/>
        <v xml:space="preserve"> </v>
      </c>
    </row>
    <row r="17" spans="1:9" ht="13.2" x14ac:dyDescent="0.25">
      <c r="A17" s="118" t="str">
        <f>'t1'!A17</f>
        <v>PROF.STI LEGALI</v>
      </c>
      <c r="B17" s="92" t="str">
        <f>'t1'!B17</f>
        <v>0D0084</v>
      </c>
      <c r="C17" s="314">
        <f>'t12'!C17</f>
        <v>0</v>
      </c>
      <c r="D17" s="315">
        <f>'t12'!D17</f>
        <v>0</v>
      </c>
      <c r="E17" s="316" t="str">
        <f t="shared" si="2"/>
        <v xml:space="preserve"> </v>
      </c>
      <c r="F17" s="335" t="s">
        <v>1108</v>
      </c>
      <c r="G17" s="316" t="str">
        <f t="shared" si="0"/>
        <v xml:space="preserve"> </v>
      </c>
      <c r="H17" s="317" t="str">
        <f t="shared" si="1"/>
        <v xml:space="preserve"> </v>
      </c>
      <c r="I17" s="296" t="str">
        <f t="shared" si="3"/>
        <v xml:space="preserve"> </v>
      </c>
    </row>
    <row r="18" spans="1:9" ht="13.2" x14ac:dyDescent="0.25">
      <c r="A18" s="118" t="str">
        <f>'t1'!A18</f>
        <v>ALTRI PROF.STI LIV. II DIFF.</v>
      </c>
      <c r="B18" s="92" t="str">
        <f>'t1'!B18</f>
        <v>0D0481</v>
      </c>
      <c r="C18" s="314">
        <f>'t12'!C18</f>
        <v>0</v>
      </c>
      <c r="D18" s="315">
        <f>'t12'!D18</f>
        <v>0</v>
      </c>
      <c r="E18" s="316" t="str">
        <f t="shared" si="2"/>
        <v xml:space="preserve"> </v>
      </c>
      <c r="F18" s="335" t="s">
        <v>1123</v>
      </c>
      <c r="G18" s="316" t="str">
        <f t="shared" si="0"/>
        <v xml:space="preserve"> </v>
      </c>
      <c r="H18" s="317" t="str">
        <f t="shared" si="1"/>
        <v xml:space="preserve"> </v>
      </c>
      <c r="I18" s="296" t="str">
        <f t="shared" si="3"/>
        <v xml:space="preserve"> </v>
      </c>
    </row>
    <row r="19" spans="1:9" ht="13.2" x14ac:dyDescent="0.25">
      <c r="A19" s="118" t="str">
        <f>'t1'!A19</f>
        <v>ALTRI PROF.STI LIV. I DIFF.</v>
      </c>
      <c r="B19" s="92" t="str">
        <f>'t1'!B19</f>
        <v>0D0480</v>
      </c>
      <c r="C19" s="314">
        <f>'t12'!C19</f>
        <v>0</v>
      </c>
      <c r="D19" s="315">
        <f>'t12'!D19</f>
        <v>0</v>
      </c>
      <c r="E19" s="316" t="str">
        <f t="shared" si="2"/>
        <v xml:space="preserve"> </v>
      </c>
      <c r="F19" s="335" t="s">
        <v>1107</v>
      </c>
      <c r="G19" s="316" t="str">
        <f t="shared" si="0"/>
        <v xml:space="preserve"> </v>
      </c>
      <c r="H19" s="317" t="str">
        <f t="shared" si="1"/>
        <v xml:space="preserve"> </v>
      </c>
      <c r="I19" s="296" t="str">
        <f t="shared" si="3"/>
        <v xml:space="preserve"> </v>
      </c>
    </row>
    <row r="20" spans="1:9" ht="13.2" x14ac:dyDescent="0.25">
      <c r="A20" s="118" t="str">
        <f>'t1'!A20</f>
        <v>ALTRI PROF.STI</v>
      </c>
      <c r="B20" s="92" t="str">
        <f>'t1'!B20</f>
        <v>0D0075</v>
      </c>
      <c r="C20" s="314">
        <f>'t12'!C20</f>
        <v>0</v>
      </c>
      <c r="D20" s="315">
        <f>'t12'!D20</f>
        <v>0</v>
      </c>
      <c r="E20" s="316" t="str">
        <f t="shared" si="2"/>
        <v xml:space="preserve"> </v>
      </c>
      <c r="F20" s="335" t="s">
        <v>1108</v>
      </c>
      <c r="G20" s="316" t="str">
        <f t="shared" si="0"/>
        <v xml:space="preserve"> </v>
      </c>
      <c r="H20" s="317" t="str">
        <f t="shared" si="1"/>
        <v xml:space="preserve"> </v>
      </c>
      <c r="I20" s="296" t="str">
        <f t="shared" si="3"/>
        <v xml:space="preserve"> </v>
      </c>
    </row>
    <row r="21" spans="1:9" ht="13.2" x14ac:dyDescent="0.25">
      <c r="A21" s="118" t="str">
        <f>'t1'!A21</f>
        <v>ELEVATE PROFESSIONALITA'</v>
      </c>
      <c r="B21" s="92" t="str">
        <f>'t1'!B21</f>
        <v>0EP981</v>
      </c>
      <c r="C21" s="314">
        <f>'t12'!C21</f>
        <v>0</v>
      </c>
      <c r="D21" s="315">
        <f>'t12'!D21</f>
        <v>0</v>
      </c>
      <c r="E21" s="316" t="str">
        <f>IF(C21=0," ",D21/C21*12)</f>
        <v xml:space="preserve"> </v>
      </c>
      <c r="F21" s="335" t="s">
        <v>1109</v>
      </c>
      <c r="G21" s="316" t="str">
        <f>IF(E21=" "," ",E21-F21)</f>
        <v xml:space="preserve"> </v>
      </c>
      <c r="H21" s="317" t="str">
        <f>IF(E21=" "," ",IF(F21=0," ",G21/F21))</f>
        <v xml:space="preserve"> </v>
      </c>
      <c r="I21" s="296" t="str">
        <f>IF(E21=" "," ",IF(F21=0," ",IF(ABS(H21)&gt;0.02,"ERRORE","OK")))</f>
        <v xml:space="preserve"> </v>
      </c>
    </row>
    <row r="22" spans="1:9" ht="13.2" x14ac:dyDescent="0.25">
      <c r="A22" s="118" t="str">
        <f>'t1'!A22</f>
        <v>FUNZIONARI</v>
      </c>
      <c r="B22" s="92" t="str">
        <f>'t1'!B22</f>
        <v>0FZ000</v>
      </c>
      <c r="C22" s="314">
        <f>'t12'!C22</f>
        <v>0</v>
      </c>
      <c r="D22" s="315">
        <f>'t12'!D22</f>
        <v>0</v>
      </c>
      <c r="E22" s="316" t="str">
        <f>IF(C22=0," ",D22/C22*12)</f>
        <v xml:space="preserve"> </v>
      </c>
      <c r="F22" s="335" t="s">
        <v>1110</v>
      </c>
      <c r="G22" s="316" t="str">
        <f>IF(E22=" "," ",E22-F22)</f>
        <v xml:space="preserve"> </v>
      </c>
      <c r="H22" s="317" t="str">
        <f>IF(E22=" "," ",IF(F22=0," ",G22/F22))</f>
        <v xml:space="preserve"> </v>
      </c>
      <c r="I22" s="296" t="str">
        <f>IF(E22=" "," ",IF(F22=0," ",IF(ABS(H22)&gt;0.02,"ERRORE","OK")))</f>
        <v xml:space="preserve"> </v>
      </c>
    </row>
    <row r="23" spans="1:9" ht="13.2" x14ac:dyDescent="0.25">
      <c r="A23" s="118" t="str">
        <f>'t1'!A23</f>
        <v>ASSISTENTI</v>
      </c>
      <c r="B23" s="92" t="str">
        <f>'t1'!B23</f>
        <v>0AS000</v>
      </c>
      <c r="C23" s="314">
        <f>'t12'!C23</f>
        <v>0</v>
      </c>
      <c r="D23" s="315">
        <f>'t12'!D23</f>
        <v>0</v>
      </c>
      <c r="E23" s="316" t="str">
        <f>IF(C23=0," ",D23/C23*12)</f>
        <v xml:space="preserve"> </v>
      </c>
      <c r="F23" s="335" t="s">
        <v>1111</v>
      </c>
      <c r="G23" s="316" t="str">
        <f>IF(E23=" "," ",E23-F23)</f>
        <v xml:space="preserve"> </v>
      </c>
      <c r="H23" s="317" t="str">
        <f>IF(E23=" "," ",IF(F23=0," ",G23/F23))</f>
        <v xml:space="preserve"> </v>
      </c>
      <c r="I23" s="296" t="str">
        <f>IF(E23=" "," ",IF(F23=0," ",IF(ABS(H23)&gt;0.02,"ERRORE","OK")))</f>
        <v xml:space="preserve"> </v>
      </c>
    </row>
    <row r="24" spans="1:9" ht="13.2" x14ac:dyDescent="0.25">
      <c r="A24" s="118" t="str">
        <f>'t1'!A24</f>
        <v>OPERATORI</v>
      </c>
      <c r="B24" s="92" t="str">
        <f>'t1'!B24</f>
        <v>0OP000</v>
      </c>
      <c r="C24" s="314">
        <f>'t12'!C24</f>
        <v>0</v>
      </c>
      <c r="D24" s="315">
        <f>'t12'!D24</f>
        <v>0</v>
      </c>
      <c r="E24" s="316" t="str">
        <f>IF(C24=0," ",D24/C24*12)</f>
        <v xml:space="preserve"> </v>
      </c>
      <c r="F24" s="335" t="s">
        <v>1112</v>
      </c>
      <c r="G24" s="316" t="str">
        <f>IF(E24=" "," ",E24-F24)</f>
        <v xml:space="preserve"> </v>
      </c>
      <c r="H24" s="317" t="str">
        <f>IF(E24=" "," ",IF(F24=0," ",G24/F24))</f>
        <v xml:space="preserve"> </v>
      </c>
      <c r="I24" s="296" t="str">
        <f>IF(E24=" "," ",IF(F24=0," ",IF(ABS(H24)&gt;0.02,"ERRORE","OK")))</f>
        <v xml:space="preserve"> </v>
      </c>
    </row>
    <row r="25" spans="1:9" ht="13.2" x14ac:dyDescent="0.25">
      <c r="A25" s="118" t="str">
        <f>'t1'!A25</f>
        <v>CONTRATTISTI</v>
      </c>
      <c r="B25" s="92" t="str">
        <f>'t1'!B25</f>
        <v>000061</v>
      </c>
      <c r="C25" s="314">
        <f>'t12'!C25</f>
        <v>0</v>
      </c>
      <c r="D25" s="315">
        <f>'t12'!D25</f>
        <v>0</v>
      </c>
      <c r="E25" s="316" t="str">
        <f>IF(C25=0," ",D25/C25*12)</f>
        <v xml:space="preserve"> </v>
      </c>
      <c r="F25" s="335">
        <v>0</v>
      </c>
      <c r="G25" s="316" t="str">
        <f>IF(E25=" "," ",E25-F25)</f>
        <v xml:space="preserve"> </v>
      </c>
      <c r="H25" s="317" t="str">
        <f>IF(E25=" "," ",IF(F25=0," ",G25/F25))</f>
        <v xml:space="preserve"> </v>
      </c>
      <c r="I25" s="296" t="str">
        <f>IF(E25=" "," ",IF(F25=0," ",IF(ABS(H25)&gt;0.02,"ERRORE","OK")))</f>
        <v xml:space="preserve"> </v>
      </c>
    </row>
  </sheetData>
  <sheetProtection algorithmName="SHA-512" hashValue="DwUgl1HYn7icrnwvScpqeTOpgiKRNgznSq9WnL4pa2YZ8tjuhZv2teDoP1cRA6s+M9jfI6ahO/F0HC0gR63H7Q==" saltValue="iIhZg146jm0JtGJ2kVYJwg==" spinCount="100000" sheet="1" formatColumns="0" selectLockedCells="1" selectUnlockedCells="1"/>
  <mergeCells count="2">
    <mergeCell ref="A1:H1"/>
    <mergeCell ref="D2:I2"/>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90" orientation="landscape" horizontalDpi="0"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Q44"/>
  <sheetViews>
    <sheetView showGridLines="0" zoomScale="80" zoomScaleNormal="80" workbookViewId="0">
      <pane ySplit="5" topLeftCell="A6" activePane="bottomLeft" state="frozen"/>
      <selection pane="bottomLeft" activeCell="K1" sqref="K1"/>
    </sheetView>
  </sheetViews>
  <sheetFormatPr defaultColWidth="8.7109375" defaultRowHeight="10.199999999999999" x14ac:dyDescent="0.2"/>
  <cols>
    <col min="1" max="1" width="3" style="3" customWidth="1"/>
    <col min="2" max="2" width="8.42578125" style="3" customWidth="1"/>
    <col min="3" max="3" width="75.7109375" style="3" customWidth="1"/>
    <col min="4" max="6" width="45.7109375" style="2" customWidth="1"/>
    <col min="7" max="7" width="45.7109375" style="3" customWidth="1"/>
    <col min="8" max="13" width="8.7109375" style="3"/>
    <col min="14" max="17" width="8.7109375" style="3" hidden="1" customWidth="1"/>
    <col min="18" max="16384" width="8.7109375" style="3"/>
  </cols>
  <sheetData>
    <row r="1" spans="1:17" ht="43.5" customHeight="1" x14ac:dyDescent="0.2">
      <c r="A1" s="1178" t="str">
        <f>'t1'!A1</f>
        <v>ENTI PUBBLICI NON ECONOMICI - anno 2023</v>
      </c>
      <c r="B1" s="1178"/>
      <c r="C1" s="1178"/>
      <c r="D1" s="1178"/>
      <c r="E1" s="1178"/>
      <c r="F1" s="1178"/>
    </row>
    <row r="2" spans="1:17" ht="21" customHeight="1" x14ac:dyDescent="0.25">
      <c r="A2" s="173" t="s">
        <v>937</v>
      </c>
      <c r="B2" s="173"/>
      <c r="C2" s="173"/>
    </row>
    <row r="3" spans="1:17" ht="21" customHeight="1" thickBot="1" x14ac:dyDescent="0.3">
      <c r="A3" s="1193"/>
      <c r="B3" s="173"/>
      <c r="C3" s="173"/>
    </row>
    <row r="4" spans="1:17" ht="49.5" customHeight="1" thickBot="1" x14ac:dyDescent="0.25">
      <c r="A4" s="878" t="s">
        <v>654</v>
      </c>
      <c r="B4" s="879"/>
      <c r="C4" s="879"/>
      <c r="D4" s="880" t="s">
        <v>961</v>
      </c>
      <c r="E4" s="880" t="s">
        <v>962</v>
      </c>
      <c r="F4" s="880" t="s">
        <v>886</v>
      </c>
      <c r="G4" s="880" t="s">
        <v>963</v>
      </c>
    </row>
    <row r="5" spans="1:17" ht="70.2" customHeight="1" thickBot="1" x14ac:dyDescent="0.25">
      <c r="A5" s="881" t="s">
        <v>938</v>
      </c>
      <c r="B5" s="879"/>
      <c r="C5" s="879"/>
      <c r="D5" s="1194" t="str">
        <f ca="1">IF(D6&lt;=10000,"OK",IF(AND(D14&lt;50,D37&lt;50),"OK","Giustificare: la retribuzione di posizione esposta in T15 e/o nella sezione ORG della SICI non appare coerente con quanto riportato in T13"))</f>
        <v>OK</v>
      </c>
      <c r="E5" s="1194" t="str">
        <f ca="1">IF(E6&lt;=10000,"OK",IF(AND(E14&lt;50,E37&lt;50),"OK","Giustificare: la retribuzione di posizione esposta in T15 e/o nella sezione ORG della SICI non appare coerente con quanto riportato in T13"))</f>
        <v>OK</v>
      </c>
      <c r="F5" s="1194" t="str">
        <f ca="1">IF(F6&lt;=10000,"OK",IF(AND(F14&lt;50,F37&lt;50),"OK","Giustificare: la retribuzione di posizione esposta in T15 e/o nella sezione ORG della SICI non appare coerente con quanto riportato in T13"))</f>
        <v>OK</v>
      </c>
      <c r="G5" s="1194" t="str">
        <f ca="1">IF(G6&lt;=10000,"OK",IF(AND(G14&lt;50,G37&lt;50),"OK","Giustificare: la retribuzione di posizione esposta in T15 e/o nella sezione ORG della SICI non appare coerente con quanto riportato in T13"))</f>
        <v>OK</v>
      </c>
    </row>
    <row r="6" spans="1:17" s="93" customFormat="1" ht="20.100000000000001" customHeight="1" x14ac:dyDescent="0.2">
      <c r="A6" s="1180" t="s">
        <v>890</v>
      </c>
      <c r="B6" s="1195" t="s">
        <v>939</v>
      </c>
      <c r="C6" s="1195"/>
      <c r="D6" s="1196" t="str">
        <f ca="1">IF(SUM(D7:D9)&lt;=10000,"&lt;= 10.000",SUM(D7:D9))</f>
        <v>&lt;= 10.000</v>
      </c>
      <c r="E6" s="1196" t="str">
        <f ca="1">IF(SUM(E7:E9)&lt;=10000,"&lt;= 10.000",SUM(E7:E9))</f>
        <v>&lt;= 10.000</v>
      </c>
      <c r="F6" s="1196" t="str">
        <f ca="1">IF(SUM(F7:F9)&lt;=10000,"&lt;= 10.000",SUM(F7:F9))</f>
        <v>&lt;= 10.000</v>
      </c>
      <c r="G6" s="1196" t="str">
        <f ca="1">IF(SUM(G7:G9)&lt;=10000,"&lt;= 10.000",SUM(G7:G9))</f>
        <v>&lt;= 10.000</v>
      </c>
    </row>
    <row r="7" spans="1:17" s="93" customFormat="1" ht="20.100000000000001" customHeight="1" x14ac:dyDescent="0.2">
      <c r="A7" s="1180"/>
      <c r="B7" s="1197" t="s">
        <v>940</v>
      </c>
      <c r="C7" s="1198"/>
      <c r="D7" s="1196">
        <f ca="1">SUMIF('t13'!$CC:$CC,D40,INDIRECT("'t13'!$"&amp;$O7&amp;":$"&amp;$O7))</f>
        <v>0</v>
      </c>
      <c r="E7" s="1196">
        <f ca="1">SUMIF('t13'!$CC:$CC,E40,INDIRECT("'t13'!$"&amp;$O7&amp;":$"&amp;$O7))</f>
        <v>0</v>
      </c>
      <c r="F7" s="1196">
        <f ca="1">SUMIF('t13'!$CC:$CC,F40,INDIRECT("'t13'!$"&amp;$O7&amp;":$"&amp;$O7))</f>
        <v>0</v>
      </c>
      <c r="G7" s="1196">
        <f ca="1">SUMIF('t13'!$CC:$CC,G40,INDIRECT("'t13'!$"&amp;$O7&amp;":$"&amp;$O7))</f>
        <v>0</v>
      </c>
      <c r="N7" s="894" t="s">
        <v>458</v>
      </c>
      <c r="O7" s="93" t="str">
        <f t="array" aca="1" ref="O7" ca="1">LEFT(RIGHT(CELL("indirizzo",INDEX('t13'!$C$5:$AJ$5,MATCH(N7,'t13'!$C$5:$AJ$5,0))),3),1)</f>
        <v>D</v>
      </c>
    </row>
    <row r="8" spans="1:17" s="93" customFormat="1" ht="20.100000000000001" customHeight="1" x14ac:dyDescent="0.2">
      <c r="A8" s="1180"/>
      <c r="B8" s="1199" t="s">
        <v>941</v>
      </c>
      <c r="C8" s="1195"/>
      <c r="D8" s="1196">
        <f ca="1">SUMIF('t13'!$CC:$CC,D40,INDIRECT("'t13'!$"&amp;$O8&amp;":$"&amp;$O8))</f>
        <v>0</v>
      </c>
      <c r="E8" s="1196">
        <f ca="1">SUMIF('t13'!$CC:$CC,E40,INDIRECT("'t13'!$"&amp;$O8&amp;":$"&amp;$O8))</f>
        <v>0</v>
      </c>
      <c r="F8" s="1196">
        <f ca="1">SUMIF('t13'!$CC:$CC,F40,INDIRECT("'t13'!$"&amp;$O8&amp;":$"&amp;$O8))</f>
        <v>0</v>
      </c>
      <c r="G8" s="1196">
        <f ca="1">SUMIF('t13'!$CC:$CC,G40,INDIRECT("'t13'!$"&amp;$O8&amp;":$"&amp;$O8))</f>
        <v>0</v>
      </c>
      <c r="N8" s="894" t="s">
        <v>459</v>
      </c>
      <c r="O8" s="93" t="str">
        <f t="array" aca="1" ref="O8" ca="1">LEFT(RIGHT(CELL("indirizzo",INDEX('t13'!$C$5:$AJ$5,MATCH(N8,'t13'!$C$5:$AJ$5,0))),3),1)</f>
        <v>E</v>
      </c>
    </row>
    <row r="9" spans="1:17" s="93" customFormat="1" ht="20.100000000000001" customHeight="1" x14ac:dyDescent="0.2">
      <c r="A9" s="1180"/>
      <c r="B9" s="1199" t="s">
        <v>964</v>
      </c>
      <c r="C9" s="1195"/>
      <c r="D9" s="1196">
        <f ca="1">SUMIF('t13'!$CC:$CC,D40,INDIRECT("'t13'!$"&amp;$O9&amp;":$"&amp;$O9))</f>
        <v>0</v>
      </c>
      <c r="E9" s="1196">
        <f ca="1">SUMIF('t13'!$CC:$CC,E40,INDIRECT("'t13'!$"&amp;$O9&amp;":$"&amp;$O9))</f>
        <v>0</v>
      </c>
      <c r="F9" s="1196">
        <f ca="1">SUMIF('t13'!$CC:$CC,F40,INDIRECT("'t13'!$"&amp;$O9&amp;":$"&amp;$O9))</f>
        <v>0</v>
      </c>
      <c r="G9" s="1196">
        <f ca="1">SUMIF('t13'!$CC:$CC,G40,INDIRECT("'t13'!$"&amp;$O9&amp;":$"&amp;$O9))</f>
        <v>0</v>
      </c>
      <c r="N9" s="894" t="s">
        <v>463</v>
      </c>
      <c r="O9" s="93" t="str">
        <f t="array" aca="1" ref="O9" ca="1">LEFT(RIGHT(CELL("indirizzo",INDEX('t13'!$C$5:$AJ$5,MATCH(N9,'t13'!$C$5:$AJ$5,0))),3),1)</f>
        <v>L</v>
      </c>
    </row>
    <row r="10" spans="1:17" s="93" customFormat="1" ht="20.100000000000001" customHeight="1" x14ac:dyDescent="0.2">
      <c r="A10" s="1180" t="s">
        <v>892</v>
      </c>
      <c r="B10" s="1195" t="s">
        <v>942</v>
      </c>
      <c r="C10" s="1198"/>
      <c r="D10" s="1196">
        <f ca="1">IF(SUM(D6)=0,0,D6/12*13)</f>
        <v>0</v>
      </c>
      <c r="E10" s="1196">
        <f ca="1">IF(SUM(E6)=0,0,E6/12*13)</f>
        <v>0</v>
      </c>
      <c r="F10" s="1196">
        <f ca="1">IF(SUM(F6)=0,0,F6/12*13)</f>
        <v>0</v>
      </c>
      <c r="G10" s="1196">
        <f ca="1">IF(SUM(G6)=0,0,G6/12*13)</f>
        <v>0</v>
      </c>
      <c r="O10" s="898"/>
    </row>
    <row r="11" spans="1:17" s="93" customFormat="1" ht="20.100000000000001" customHeight="1" x14ac:dyDescent="0.2">
      <c r="A11" s="1183"/>
      <c r="B11" s="1200" t="s">
        <v>943</v>
      </c>
      <c r="C11" s="1201"/>
      <c r="D11" s="1202" t="s">
        <v>916</v>
      </c>
      <c r="E11" s="1202" t="s">
        <v>916</v>
      </c>
      <c r="F11" s="1202" t="s">
        <v>916</v>
      </c>
      <c r="G11" s="1202" t="s">
        <v>764</v>
      </c>
    </row>
    <row r="12" spans="1:17" s="896" customFormat="1" ht="20.100000000000001" customHeight="1" x14ac:dyDescent="0.2">
      <c r="A12" s="897" t="s">
        <v>894</v>
      </c>
      <c r="B12" s="1199" t="s">
        <v>944</v>
      </c>
      <c r="C12" s="1198"/>
      <c r="D12" s="1196">
        <f ca="1">IF(D6=0,0,SUMIF(INDIRECT(D41&amp;"!$F:$F"),D11,INDIRECT(D41&amp;"!$G:$G")))</f>
        <v>0</v>
      </c>
      <c r="E12" s="1196">
        <f ca="1">IF(E6=0,0,SUMIF(INDIRECT(E41&amp;"!$F:$F"),E11,INDIRECT(E41&amp;"!$G:$G")))</f>
        <v>0</v>
      </c>
      <c r="F12" s="1196">
        <f ca="1">IF(F6=0,0,SUMIF(INDIRECT(F41&amp;"!$F:$F"),F11,INDIRECT(F41&amp;"!$G:$G")))</f>
        <v>0</v>
      </c>
      <c r="G12" s="1196">
        <f ca="1">IF(G6=0,0,SUMIF(INDIRECT(G41&amp;"!$F:$F"),G11,INDIRECT(G41&amp;"!$G:$G")))</f>
        <v>0</v>
      </c>
    </row>
    <row r="13" spans="1:17" ht="20.100000000000001" customHeight="1" x14ac:dyDescent="0.2">
      <c r="A13" s="897" t="s">
        <v>896</v>
      </c>
      <c r="B13" s="1199" t="s">
        <v>945</v>
      </c>
      <c r="C13" s="1197"/>
      <c r="D13" s="1196">
        <f ca="1">IF(D6 =0,0,ABS(D12-D10))</f>
        <v>0</v>
      </c>
      <c r="E13" s="1196">
        <f ca="1">IF(E6 =0,0,ABS(E12-E10))</f>
        <v>0</v>
      </c>
      <c r="F13" s="1196">
        <f ca="1">IF(F6 =0,0,ABS(F12-F10))</f>
        <v>0</v>
      </c>
      <c r="G13" s="1196">
        <f ca="1">IF(G6 =0,0,ABS(G12-G10))</f>
        <v>0</v>
      </c>
    </row>
    <row r="14" spans="1:17" ht="20.100000000000001" customHeight="1" x14ac:dyDescent="0.2">
      <c r="A14" s="897" t="s">
        <v>898</v>
      </c>
      <c r="B14" s="1199" t="s">
        <v>946</v>
      </c>
      <c r="C14" s="1197"/>
      <c r="D14" s="1203">
        <f ca="1">IF(D10=0,0,D13/D10*100)</f>
        <v>0</v>
      </c>
      <c r="E14" s="1203">
        <f ca="1">IF(E10=0,0,E13/E10*100)</f>
        <v>0</v>
      </c>
      <c r="F14" s="1203">
        <f ca="1">IF(F10=0,0,F13/F10*100)</f>
        <v>0</v>
      </c>
      <c r="G14" s="1203">
        <f ca="1">IF(G10=0,0,G13/G10*100)</f>
        <v>0</v>
      </c>
    </row>
    <row r="15" spans="1:17" ht="20.100000000000001" customHeight="1" x14ac:dyDescent="0.2">
      <c r="A15" s="897"/>
      <c r="B15" s="1199" t="s">
        <v>1180</v>
      </c>
      <c r="C15" s="1197"/>
      <c r="D15" s="1207"/>
      <c r="E15" s="1207"/>
      <c r="F15" s="1205"/>
      <c r="G15" s="1196">
        <f>VLOOKUP(Q15,'SICI(5)'!$A:$F,6,FALSE)</f>
        <v>0</v>
      </c>
      <c r="Q15" s="894" t="s">
        <v>1039</v>
      </c>
    </row>
    <row r="16" spans="1:17" ht="20.100000000000001" customHeight="1" x14ac:dyDescent="0.2">
      <c r="A16" s="897"/>
      <c r="B16" s="1199" t="s">
        <v>1181</v>
      </c>
      <c r="C16" s="1197"/>
      <c r="D16" s="1207"/>
      <c r="E16" s="1207"/>
      <c r="F16" s="1207"/>
      <c r="G16" s="1196">
        <f>VLOOKUP(Q16,'SICI(5)'!$A:$F,6,FALSE)</f>
        <v>0</v>
      </c>
      <c r="Q16" s="894" t="s">
        <v>1040</v>
      </c>
    </row>
    <row r="17" spans="1:17" ht="20.100000000000001" customHeight="1" x14ac:dyDescent="0.2">
      <c r="A17" s="897"/>
      <c r="B17" s="1199" t="s">
        <v>947</v>
      </c>
      <c r="C17" s="1197"/>
      <c r="D17" s="1204">
        <f>VLOOKUP(O17,'SICI(1)'!$A:$F,6,FALSE)</f>
        <v>0</v>
      </c>
      <c r="E17" s="1204">
        <f>VLOOKUP(O17,'SICI(2)'!$A:$F,6,FALSE)</f>
        <v>0</v>
      </c>
      <c r="F17" s="1207"/>
      <c r="G17" s="1207"/>
      <c r="O17" s="894" t="s">
        <v>679</v>
      </c>
      <c r="Q17" s="1206"/>
    </row>
    <row r="18" spans="1:17" ht="20.100000000000001" customHeight="1" x14ac:dyDescent="0.2">
      <c r="A18" s="897"/>
      <c r="B18" s="1199" t="s">
        <v>948</v>
      </c>
      <c r="C18" s="1197"/>
      <c r="D18" s="1204">
        <f>VLOOKUP(O18,'SICI(1)'!$A:$F,6,FALSE)</f>
        <v>0</v>
      </c>
      <c r="E18" s="1204">
        <f>VLOOKUP(O18,'SICI(2)'!$A:$F,6,FALSE)</f>
        <v>0</v>
      </c>
      <c r="F18" s="1207"/>
      <c r="G18" s="1207"/>
      <c r="O18" s="894" t="s">
        <v>685</v>
      </c>
      <c r="Q18" s="1206"/>
    </row>
    <row r="19" spans="1:17" ht="20.100000000000001" customHeight="1" x14ac:dyDescent="0.2">
      <c r="A19" s="897"/>
      <c r="B19" s="1199" t="s">
        <v>949</v>
      </c>
      <c r="C19" s="1197"/>
      <c r="D19" s="1204">
        <f>VLOOKUP(O19,'SICI(1)'!$A:$F,6,FALSE)</f>
        <v>0</v>
      </c>
      <c r="E19" s="1204">
        <f>VLOOKUP(O19,'SICI(2)'!$A:$F,6,FALSE)</f>
        <v>0</v>
      </c>
      <c r="F19" s="1207"/>
      <c r="G19" s="1207"/>
      <c r="O19" s="894" t="s">
        <v>681</v>
      </c>
      <c r="Q19" s="1206"/>
    </row>
    <row r="20" spans="1:17" ht="20.100000000000001" customHeight="1" x14ac:dyDescent="0.2">
      <c r="A20" s="897"/>
      <c r="B20" s="1199" t="s">
        <v>950</v>
      </c>
      <c r="C20" s="1197"/>
      <c r="D20" s="1204">
        <f>VLOOKUP(O20,'SICI(1)'!$A:$F,6,FALSE)</f>
        <v>0</v>
      </c>
      <c r="E20" s="1204">
        <f>VLOOKUP(O20,'SICI(2)'!$A:$F,6,FALSE)</f>
        <v>0</v>
      </c>
      <c r="F20" s="1207"/>
      <c r="G20" s="1207"/>
      <c r="O20" s="894" t="s">
        <v>686</v>
      </c>
      <c r="Q20" s="1206"/>
    </row>
    <row r="21" spans="1:17" ht="20.100000000000001" customHeight="1" x14ac:dyDescent="0.2">
      <c r="A21" s="897"/>
      <c r="B21" s="1199" t="s">
        <v>951</v>
      </c>
      <c r="C21" s="1197"/>
      <c r="D21" s="1204">
        <f>VLOOKUP(O21,'SICI(1)'!$A:$F,6,FALSE)</f>
        <v>0</v>
      </c>
      <c r="E21" s="1204">
        <f>VLOOKUP(O21,'SICI(2)'!$A:$F,6,FALSE)</f>
        <v>0</v>
      </c>
      <c r="F21" s="1207"/>
      <c r="G21" s="1207"/>
      <c r="O21" s="894" t="s">
        <v>683</v>
      </c>
      <c r="Q21" s="1206"/>
    </row>
    <row r="22" spans="1:17" ht="20.100000000000001" customHeight="1" x14ac:dyDescent="0.2">
      <c r="A22" s="897"/>
      <c r="B22" s="1199" t="s">
        <v>952</v>
      </c>
      <c r="C22" s="1197"/>
      <c r="D22" s="1204">
        <f>VLOOKUP(O22,'SICI(1)'!$A:$F,6,FALSE)</f>
        <v>0</v>
      </c>
      <c r="E22" s="1204">
        <f>VLOOKUP(O22,'SICI(2)'!$A:$F,6,FALSE)</f>
        <v>0</v>
      </c>
      <c r="F22" s="1208"/>
      <c r="G22" s="1207"/>
      <c r="O22" s="894" t="s">
        <v>687</v>
      </c>
      <c r="Q22" s="1206"/>
    </row>
    <row r="23" spans="1:17" ht="20.100000000000001" customHeight="1" x14ac:dyDescent="0.2">
      <c r="A23" s="897"/>
      <c r="B23" s="1199" t="s">
        <v>985</v>
      </c>
      <c r="C23" s="1197"/>
      <c r="D23" s="1205"/>
      <c r="E23" s="1205"/>
      <c r="F23" s="1196">
        <f>VLOOKUP(O23,'SICI(3)'!$A:$F,6,FALSE)</f>
        <v>0</v>
      </c>
      <c r="G23" s="1207"/>
      <c r="N23" s="1206"/>
      <c r="O23" s="894" t="s">
        <v>977</v>
      </c>
    </row>
    <row r="24" spans="1:17" ht="20.100000000000001" customHeight="1" x14ac:dyDescent="0.2">
      <c r="A24" s="897"/>
      <c r="B24" s="1199" t="s">
        <v>986</v>
      </c>
      <c r="C24" s="1197"/>
      <c r="D24" s="1207"/>
      <c r="E24" s="1207"/>
      <c r="F24" s="1196">
        <f>VLOOKUP(O24,'SICI(3)'!$A:$F,6,FALSE)</f>
        <v>0</v>
      </c>
      <c r="G24" s="1207"/>
      <c r="O24" s="894" t="s">
        <v>701</v>
      </c>
    </row>
    <row r="25" spans="1:17" ht="20.100000000000001" customHeight="1" x14ac:dyDescent="0.2">
      <c r="A25" s="897"/>
      <c r="B25" s="1199" t="s">
        <v>987</v>
      </c>
      <c r="C25" s="1197"/>
      <c r="D25" s="1207"/>
      <c r="E25" s="1207"/>
      <c r="F25" s="1196">
        <f>VLOOKUP(O25,'SICI(3)'!$A:$F,6,FALSE)</f>
        <v>0</v>
      </c>
      <c r="G25" s="1207"/>
      <c r="O25" s="894" t="s">
        <v>978</v>
      </c>
    </row>
    <row r="26" spans="1:17" ht="20.100000000000001" customHeight="1" x14ac:dyDescent="0.2">
      <c r="A26" s="897"/>
      <c r="B26" s="1199" t="s">
        <v>988</v>
      </c>
      <c r="C26" s="1197"/>
      <c r="D26" s="1207"/>
      <c r="E26" s="1207"/>
      <c r="F26" s="1196">
        <f>VLOOKUP(O26,'SICI(3)'!$A:$F,6,FALSE)</f>
        <v>0</v>
      </c>
      <c r="G26" s="1207"/>
      <c r="O26" s="894" t="s">
        <v>702</v>
      </c>
    </row>
    <row r="27" spans="1:17" ht="20.100000000000001" customHeight="1" x14ac:dyDescent="0.2">
      <c r="A27" s="897"/>
      <c r="B27" s="1199" t="s">
        <v>989</v>
      </c>
      <c r="C27" s="1197"/>
      <c r="D27" s="1207"/>
      <c r="E27" s="1207"/>
      <c r="F27" s="1196">
        <f>VLOOKUP(O27,'SICI(3)'!$A:$F,6,FALSE)</f>
        <v>0</v>
      </c>
      <c r="G27" s="1207"/>
      <c r="O27" s="894" t="s">
        <v>979</v>
      </c>
    </row>
    <row r="28" spans="1:17" ht="20.100000000000001" customHeight="1" x14ac:dyDescent="0.2">
      <c r="A28" s="897"/>
      <c r="B28" s="1199" t="s">
        <v>990</v>
      </c>
      <c r="C28" s="1197"/>
      <c r="D28" s="1207"/>
      <c r="E28" s="1207"/>
      <c r="F28" s="1196">
        <f>VLOOKUP(O28,'SICI(3)'!$A:$F,6,FALSE)</f>
        <v>0</v>
      </c>
      <c r="G28" s="1207"/>
      <c r="O28" s="894" t="s">
        <v>980</v>
      </c>
    </row>
    <row r="29" spans="1:17" ht="20.100000000000001" customHeight="1" x14ac:dyDescent="0.2">
      <c r="A29" s="897"/>
      <c r="B29" s="1199" t="s">
        <v>991</v>
      </c>
      <c r="C29" s="1197"/>
      <c r="D29" s="1207"/>
      <c r="E29" s="1207"/>
      <c r="F29" s="1196">
        <f>VLOOKUP(O29,'SICI(3)'!$A:$F,6,FALSE)</f>
        <v>0</v>
      </c>
      <c r="G29" s="1207"/>
      <c r="O29" s="894" t="s">
        <v>981</v>
      </c>
    </row>
    <row r="30" spans="1:17" ht="20.100000000000001" customHeight="1" x14ac:dyDescent="0.2">
      <c r="A30" s="897"/>
      <c r="B30" s="1199" t="s">
        <v>992</v>
      </c>
      <c r="C30" s="1197"/>
      <c r="D30" s="1207"/>
      <c r="E30" s="1207"/>
      <c r="F30" s="1196">
        <f>VLOOKUP(O30,'SICI(3)'!$A:$F,6,FALSE)</f>
        <v>0</v>
      </c>
      <c r="G30" s="1207"/>
      <c r="O30" s="894" t="s">
        <v>703</v>
      </c>
    </row>
    <row r="31" spans="1:17" ht="20.100000000000001" customHeight="1" x14ac:dyDescent="0.2">
      <c r="A31" s="897"/>
      <c r="B31" s="1199" t="s">
        <v>993</v>
      </c>
      <c r="C31" s="1197"/>
      <c r="D31" s="1207"/>
      <c r="E31" s="1207"/>
      <c r="F31" s="1196">
        <f>VLOOKUP(O31,'SICI(3)'!$A:$F,6,FALSE)</f>
        <v>0</v>
      </c>
      <c r="G31" s="1207"/>
      <c r="O31" s="894" t="s">
        <v>982</v>
      </c>
    </row>
    <row r="32" spans="1:17" ht="20.100000000000001" customHeight="1" x14ac:dyDescent="0.2">
      <c r="A32" s="897"/>
      <c r="B32" s="1199" t="s">
        <v>994</v>
      </c>
      <c r="C32" s="1197"/>
      <c r="D32" s="1207"/>
      <c r="E32" s="1207"/>
      <c r="F32" s="1196">
        <f>VLOOKUP(O32,'SICI(3)'!$A:$F,6,FALSE)</f>
        <v>0</v>
      </c>
      <c r="G32" s="1207"/>
      <c r="O32" s="894" t="s">
        <v>704</v>
      </c>
    </row>
    <row r="33" spans="1:15" ht="20.100000000000001" customHeight="1" x14ac:dyDescent="0.2">
      <c r="A33" s="897"/>
      <c r="B33" s="1199" t="s">
        <v>995</v>
      </c>
      <c r="C33" s="1197"/>
      <c r="D33" s="1207"/>
      <c r="E33" s="1207"/>
      <c r="F33" s="1196">
        <f>VLOOKUP(O33,'SICI(3)'!$A:$F,6,FALSE)</f>
        <v>0</v>
      </c>
      <c r="G33" s="1207"/>
      <c r="O33" s="894" t="s">
        <v>983</v>
      </c>
    </row>
    <row r="34" spans="1:15" ht="20.100000000000001" customHeight="1" x14ac:dyDescent="0.2">
      <c r="A34" s="897"/>
      <c r="B34" s="1199" t="s">
        <v>996</v>
      </c>
      <c r="C34" s="1197"/>
      <c r="D34" s="1208"/>
      <c r="E34" s="1208"/>
      <c r="F34" s="1196">
        <f>VLOOKUP(O34,'SICI(3)'!$A:$F,6,FALSE)</f>
        <v>0</v>
      </c>
      <c r="G34" s="1208"/>
      <c r="O34" s="894" t="s">
        <v>984</v>
      </c>
    </row>
    <row r="35" spans="1:15" ht="20.100000000000001" customHeight="1" x14ac:dyDescent="0.2">
      <c r="A35" s="897" t="s">
        <v>953</v>
      </c>
      <c r="B35" s="1199" t="s">
        <v>954</v>
      </c>
      <c r="C35" s="1197"/>
      <c r="D35" s="1196">
        <f>D17*D18+D19*D20+D21*D22</f>
        <v>0</v>
      </c>
      <c r="E35" s="1196">
        <f>E17*E18+E19*E20+E21*E22</f>
        <v>0</v>
      </c>
      <c r="F35" s="1196">
        <f>F23*F24+F25*F26+F27*F28+F29*F30+F31*F32+F33*F34</f>
        <v>0</v>
      </c>
      <c r="G35" s="1196">
        <f>G15*G16</f>
        <v>0</v>
      </c>
    </row>
    <row r="36" spans="1:15" ht="17.100000000000001" customHeight="1" x14ac:dyDescent="0.2">
      <c r="A36" s="897" t="s">
        <v>955</v>
      </c>
      <c r="B36" s="1199" t="s">
        <v>956</v>
      </c>
      <c r="C36" s="1197"/>
      <c r="D36" s="1196">
        <f ca="1">IF(D10=0,0,ABS(D35-D10))</f>
        <v>0</v>
      </c>
      <c r="E36" s="1196">
        <f ca="1">IF(E10=0,0,ABS(E35-E10))</f>
        <v>0</v>
      </c>
      <c r="F36" s="1196">
        <f ca="1">IF(F10=0,0,ABS(F35-F10))</f>
        <v>0</v>
      </c>
      <c r="G36" s="1196">
        <f ca="1">IF(G10=0,0,ABS(G35-G10))</f>
        <v>0</v>
      </c>
    </row>
    <row r="37" spans="1:15" ht="17.100000000000001" customHeight="1" x14ac:dyDescent="0.2">
      <c r="A37" s="897" t="s">
        <v>957</v>
      </c>
      <c r="B37" s="1199" t="s">
        <v>958</v>
      </c>
      <c r="C37" s="1197"/>
      <c r="D37" s="1203">
        <f ca="1">IF(D10=0,0,D36/D10*100)</f>
        <v>0</v>
      </c>
      <c r="E37" s="1203">
        <f ca="1">IF(E10=0,0,E36/E10*100)</f>
        <v>0</v>
      </c>
      <c r="F37" s="1203">
        <f ca="1">IF(F10=0,0,F36/F10*100)</f>
        <v>0</v>
      </c>
      <c r="G37" s="1203">
        <f ca="1">IF(G10=0,0,G36/G10*100)</f>
        <v>0</v>
      </c>
    </row>
    <row r="38" spans="1:15" ht="11.4" x14ac:dyDescent="0.2">
      <c r="A38" s="825" t="s">
        <v>959</v>
      </c>
      <c r="G38" s="2"/>
    </row>
    <row r="39" spans="1:15" ht="11.4" x14ac:dyDescent="0.2">
      <c r="A39" s="825" t="s">
        <v>960</v>
      </c>
      <c r="G39" s="2"/>
    </row>
    <row r="40" spans="1:15" x14ac:dyDescent="0.2">
      <c r="B40" s="1391"/>
      <c r="C40" s="1391"/>
      <c r="D40" s="1392" t="s">
        <v>489</v>
      </c>
      <c r="E40" s="1392" t="s">
        <v>472</v>
      </c>
      <c r="F40" s="1392" t="s">
        <v>473</v>
      </c>
      <c r="G40" s="1392" t="s">
        <v>267</v>
      </c>
    </row>
    <row r="41" spans="1:15" x14ac:dyDescent="0.2">
      <c r="B41" s="1391"/>
      <c r="C41" s="1391"/>
      <c r="D41" s="1393" t="str">
        <f>"'T15(1)'"</f>
        <v>'T15(1)'</v>
      </c>
      <c r="E41" s="1393" t="str">
        <f>"'T15(2)'"</f>
        <v>'T15(2)'</v>
      </c>
      <c r="F41" s="1393" t="str">
        <f>"'T15(3)'"</f>
        <v>'T15(3)'</v>
      </c>
      <c r="G41" s="1393" t="str">
        <f>"'T15(5)'"</f>
        <v>'T15(5)'</v>
      </c>
    </row>
    <row r="42" spans="1:15" x14ac:dyDescent="0.2">
      <c r="B42" s="1391"/>
      <c r="C42" s="1391"/>
      <c r="D42" s="1392"/>
      <c r="E42" s="1392"/>
      <c r="F42" s="1392"/>
      <c r="G42" s="1391"/>
    </row>
    <row r="43" spans="1:15" x14ac:dyDescent="0.2">
      <c r="B43" s="1391"/>
      <c r="C43" s="1391"/>
      <c r="D43" s="1392"/>
      <c r="E43" s="1392"/>
      <c r="F43" s="1392"/>
      <c r="G43" s="1391"/>
    </row>
    <row r="44" spans="1:15" x14ac:dyDescent="0.2">
      <c r="B44" s="1206"/>
      <c r="C44" s="1206"/>
      <c r="D44" s="1386"/>
      <c r="E44" s="1386"/>
      <c r="F44" s="1386"/>
      <c r="G44" s="1206"/>
    </row>
  </sheetData>
  <sheetProtection algorithmName="SHA-512" hashValue="wKkfoVmC7TW63ioLY2/IZ6iaLbD0JfycdA+/jBW+uoTKY98/tvPm04m/Atc7BH6t6VocQyg62itHNyRqf/reDQ==" saltValue="eALU+QLhEhmyO/AyDjWY2g==" spinCount="100000" sheet="1" formatColumns="0" selectLockedCells="1"/>
  <conditionalFormatting sqref="D37">
    <cfRule type="cellIs" dxfId="33" priority="12" stopIfTrue="1" operator="greaterThan">
      <formula>49.99</formula>
    </cfRule>
    <cfRule type="cellIs" dxfId="32" priority="13" stopIfTrue="1" operator="greaterThan">
      <formula>99.9</formula>
    </cfRule>
    <cfRule type="cellIs" dxfId="31" priority="14" stopIfTrue="1" operator="greaterThan">
      <formula>100</formula>
    </cfRule>
    <cfRule type="cellIs" dxfId="30" priority="15" stopIfTrue="1" operator="greaterThan">
      <formula>100</formula>
    </cfRule>
  </conditionalFormatting>
  <conditionalFormatting sqref="D37:E37">
    <cfRule type="cellIs" dxfId="29" priority="11" stopIfTrue="1" operator="greaterThan">
      <formula>100</formula>
    </cfRule>
  </conditionalFormatting>
  <conditionalFormatting sqref="D14:F14">
    <cfRule type="cellIs" dxfId="28" priority="27" stopIfTrue="1" operator="greaterThan">
      <formula>49.99</formula>
    </cfRule>
    <cfRule type="cellIs" dxfId="27" priority="28" stopIfTrue="1" operator="greaterThan">
      <formula>99.9</formula>
    </cfRule>
    <cfRule type="cellIs" dxfId="26" priority="29" stopIfTrue="1" operator="greaterThan">
      <formula>100</formula>
    </cfRule>
    <cfRule type="cellIs" dxfId="25" priority="30" stopIfTrue="1" operator="greaterThan">
      <formula>100</formula>
    </cfRule>
  </conditionalFormatting>
  <conditionalFormatting sqref="D14:G14">
    <cfRule type="cellIs" dxfId="24" priority="20" stopIfTrue="1" operator="greaterThan">
      <formula>49.9</formula>
    </cfRule>
    <cfRule type="cellIs" dxfId="23" priority="21" stopIfTrue="1" operator="greaterThan">
      <formula>99.99</formula>
    </cfRule>
    <cfRule type="cellIs" dxfId="22" priority="26" stopIfTrue="1" operator="greaterThan">
      <formula>100</formula>
    </cfRule>
  </conditionalFormatting>
  <conditionalFormatting sqref="D37:G37">
    <cfRule type="cellIs" dxfId="21" priority="1" stopIfTrue="1" operator="greaterThan">
      <formula>49.9</formula>
    </cfRule>
    <cfRule type="cellIs" dxfId="20" priority="2" stopIfTrue="1" operator="greaterThan">
      <formula>99.99</formula>
    </cfRule>
  </conditionalFormatting>
  <conditionalFormatting sqref="E37">
    <cfRule type="cellIs" dxfId="19" priority="8" stopIfTrue="1" operator="greaterThan">
      <formula>49.99</formula>
    </cfRule>
    <cfRule type="cellIs" dxfId="18" priority="9" stopIfTrue="1" operator="greaterThan">
      <formula>99.9</formula>
    </cfRule>
    <cfRule type="cellIs" dxfId="17" priority="10" stopIfTrue="1" operator="greaterThan">
      <formula>100</formula>
    </cfRule>
  </conditionalFormatting>
  <conditionalFormatting sqref="E37:G37">
    <cfRule type="cellIs" dxfId="16" priority="7" stopIfTrue="1" operator="greaterThan">
      <formula>100</formula>
    </cfRule>
  </conditionalFormatting>
  <conditionalFormatting sqref="F37">
    <cfRule type="cellIs" dxfId="15" priority="3" stopIfTrue="1" operator="greaterThan">
      <formula>100</formula>
    </cfRule>
    <cfRule type="cellIs" dxfId="14" priority="4" stopIfTrue="1" operator="greaterThan">
      <formula>49.99</formula>
    </cfRule>
    <cfRule type="cellIs" dxfId="13" priority="5" stopIfTrue="1" operator="greaterThan">
      <formula>99.9</formula>
    </cfRule>
    <cfRule type="cellIs" dxfId="12" priority="6" stopIfTrue="1" operator="greaterThan">
      <formula>100</formula>
    </cfRule>
  </conditionalFormatting>
  <conditionalFormatting sqref="G14">
    <cfRule type="cellIs" dxfId="11" priority="22" stopIfTrue="1" operator="greaterThan">
      <formula>100</formula>
    </cfRule>
    <cfRule type="cellIs" dxfId="10" priority="23" stopIfTrue="1" operator="greaterThan">
      <formula>49.99</formula>
    </cfRule>
    <cfRule type="cellIs" dxfId="9" priority="24" stopIfTrue="1" operator="greaterThan">
      <formula>99.9</formula>
    </cfRule>
    <cfRule type="cellIs" dxfId="8" priority="25" stopIfTrue="1" operator="greaterThan">
      <formula>100</formula>
    </cfRule>
  </conditionalFormatting>
  <conditionalFormatting sqref="G37">
    <cfRule type="cellIs" dxfId="7" priority="16" stopIfTrue="1" operator="greaterThan">
      <formula>49.99</formula>
    </cfRule>
    <cfRule type="cellIs" dxfId="6" priority="17" stopIfTrue="1" operator="greaterThan">
      <formula>99.9</formula>
    </cfRule>
    <cfRule type="cellIs" dxfId="5" priority="18" stopIfTrue="1" operator="greaterThan">
      <formula>100</formula>
    </cfRule>
    <cfRule type="cellIs" dxfId="4" priority="19" stopIfTrue="1" operator="greaterThan">
      <formula>100</formula>
    </cfRule>
  </conditionalFormatting>
  <printOptions horizontalCentered="1"/>
  <pageMargins left="0.19685039370078741" right="0.19685039370078741" top="0.19685039370078741" bottom="0.15748031496062992" header="0.15748031496062992" footer="0.15748031496062992"/>
  <pageSetup paperSize="9" scale="67"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Foglio7">
    <pageSetUpPr fitToPage="1"/>
  </sheetPr>
  <dimension ref="A1:N32"/>
  <sheetViews>
    <sheetView showGridLines="0" zoomScale="90" workbookViewId="0">
      <pane ySplit="5" topLeftCell="A6" activePane="bottomLeft" state="frozen"/>
      <selection activeCell="A2" sqref="A2"/>
      <selection pane="bottomLeft" activeCell="B2" sqref="B2:G2"/>
    </sheetView>
  </sheetViews>
  <sheetFormatPr defaultRowHeight="10.199999999999999" x14ac:dyDescent="0.2"/>
  <cols>
    <col min="1" max="1" width="71.28515625" style="373" customWidth="1"/>
    <col min="2" max="2" width="8" style="373" customWidth="1"/>
    <col min="3" max="3" width="14.140625" style="373" customWidth="1"/>
    <col min="4" max="4" width="15.28515625" style="373" customWidth="1"/>
    <col min="5" max="5" width="25" style="373" bestFit="1" customWidth="1"/>
    <col min="6" max="6" width="17.28515625" style="373" customWidth="1"/>
    <col min="7" max="7" width="17.140625" style="373" customWidth="1"/>
    <col min="8" max="14" width="9.28515625" style="373" customWidth="1"/>
  </cols>
  <sheetData>
    <row r="1" spans="1:14" s="3" customFormat="1" ht="26.25" customHeight="1" x14ac:dyDescent="0.2">
      <c r="A1" s="1463" t="str">
        <f>'t1'!A1:J1</f>
        <v>ENTI PUBBLICI NON ECONOMICI - anno 2023</v>
      </c>
      <c r="B1" s="1463"/>
      <c r="C1" s="1463"/>
      <c r="D1" s="1463"/>
      <c r="E1" s="1463"/>
      <c r="F1" s="289"/>
      <c r="G1" s="286"/>
      <c r="H1" s="289"/>
      <c r="M1" s="372"/>
    </row>
    <row r="2" spans="1:14" s="3" customFormat="1" ht="21" customHeight="1" x14ac:dyDescent="0.2">
      <c r="B2" s="1547"/>
      <c r="C2" s="1547"/>
      <c r="D2" s="1547"/>
      <c r="E2" s="1547"/>
      <c r="F2" s="1547"/>
      <c r="G2" s="1547"/>
      <c r="J2" s="290"/>
      <c r="M2" s="372"/>
    </row>
    <row r="3" spans="1:14" s="3" customFormat="1" ht="21" customHeight="1" thickBot="1" x14ac:dyDescent="0.3">
      <c r="A3" s="292" t="s">
        <v>245</v>
      </c>
      <c r="B3" s="2"/>
    </row>
    <row r="4" spans="1:14" ht="20.25" customHeight="1" thickBot="1" x14ac:dyDescent="0.35">
      <c r="A4" s="301" t="s">
        <v>246</v>
      </c>
      <c r="B4" s="1605">
        <f>'t12'!K26+'t13'!V26</f>
        <v>0</v>
      </c>
      <c r="C4" s="1606"/>
      <c r="D4" s="1606"/>
      <c r="E4" s="1606"/>
      <c r="F4" s="1606"/>
      <c r="G4" s="1607"/>
    </row>
    <row r="5" spans="1:14" ht="85.5" customHeight="1" thickBot="1" x14ac:dyDescent="0.25">
      <c r="A5" s="196" t="s">
        <v>93</v>
      </c>
      <c r="B5" s="197" t="s">
        <v>231</v>
      </c>
      <c r="C5" s="197" t="s">
        <v>232</v>
      </c>
      <c r="D5" s="198" t="s">
        <v>233</v>
      </c>
      <c r="E5" s="1608" t="s">
        <v>229</v>
      </c>
      <c r="F5" s="1609"/>
      <c r="G5" s="1610"/>
      <c r="H5" s="372"/>
      <c r="I5" s="372"/>
      <c r="J5" s="372"/>
      <c r="K5" s="372"/>
      <c r="L5" s="372"/>
      <c r="M5" s="372"/>
      <c r="N5" s="372"/>
    </row>
    <row r="6" spans="1:14" ht="19.5" customHeight="1" x14ac:dyDescent="0.2">
      <c r="A6" s="195" t="str">
        <f>'t14'!A4</f>
        <v>ASSEGNI PER IL NUCLEO FAMILIARE</v>
      </c>
      <c r="B6" s="297" t="str">
        <f>'t14'!B4</f>
        <v>L005</v>
      </c>
      <c r="C6" s="293">
        <f>'t14'!D4</f>
        <v>0</v>
      </c>
      <c r="D6" s="374" t="str">
        <f t="shared" ref="D6:D12" si="0">IF($B$4=0," ",(IF(C6=0," ",C6/$B$4)))</f>
        <v xml:space="preserve"> </v>
      </c>
      <c r="E6" s="1611" t="str">
        <f>IF($B$4=0,"TABELLE 12 -13 ASSENTI",(IF('t12'!$K$26=0,"TAB. 12 ASSENTE",(IF('t13'!V26=0,"TAB. 13 ASSENTE"," ")))))</f>
        <v>TABELLE 12 -13 ASSENTI</v>
      </c>
      <c r="F6" s="1612"/>
      <c r="G6" s="1613"/>
      <c r="H6" s="372"/>
      <c r="I6" s="372"/>
      <c r="J6" s="372"/>
      <c r="K6" s="372"/>
      <c r="L6" s="372"/>
      <c r="M6" s="372"/>
      <c r="N6" s="372"/>
    </row>
    <row r="7" spans="1:14" ht="19.5" customHeight="1" x14ac:dyDescent="0.2">
      <c r="A7" s="195" t="str">
        <f>'t14'!A5</f>
        <v xml:space="preserve">GESTIONE MENSE </v>
      </c>
      <c r="B7" s="297" t="str">
        <f>'t14'!B5</f>
        <v>L010</v>
      </c>
      <c r="C7" s="294">
        <f>'t14'!D5</f>
        <v>0</v>
      </c>
      <c r="D7" s="375" t="str">
        <f t="shared" si="0"/>
        <v xml:space="preserve"> </v>
      </c>
      <c r="E7" s="1614"/>
      <c r="F7" s="1615"/>
      <c r="G7" s="1616"/>
      <c r="H7" s="372"/>
      <c r="I7" s="372"/>
      <c r="J7" s="372"/>
      <c r="K7" s="372"/>
      <c r="L7" s="372"/>
      <c r="M7" s="372"/>
      <c r="N7" s="372"/>
    </row>
    <row r="8" spans="1:14" ht="19.5" customHeight="1" x14ac:dyDescent="0.2">
      <c r="A8" s="195" t="str">
        <f>'t14'!A6</f>
        <v>EROGAZIONE BUONI PASTO</v>
      </c>
      <c r="B8" s="297" t="str">
        <f>'t14'!B6</f>
        <v>L011</v>
      </c>
      <c r="C8" s="294">
        <f>'t14'!D6</f>
        <v>0</v>
      </c>
      <c r="D8" s="375" t="str">
        <f t="shared" si="0"/>
        <v xml:space="preserve"> </v>
      </c>
      <c r="E8" s="1614"/>
      <c r="F8" s="1615"/>
      <c r="G8" s="1616"/>
      <c r="H8" s="372"/>
      <c r="I8" s="372"/>
      <c r="J8" s="372"/>
      <c r="K8" s="372"/>
      <c r="L8" s="372"/>
      <c r="M8" s="372"/>
      <c r="N8" s="372"/>
    </row>
    <row r="9" spans="1:14" ht="19.5" customHeight="1" x14ac:dyDescent="0.2">
      <c r="A9" s="195" t="str">
        <f>'t14'!A7</f>
        <v>FORMAZIONE DEL PERSONALE</v>
      </c>
      <c r="B9" s="297" t="str">
        <f>'t14'!B7</f>
        <v>L020</v>
      </c>
      <c r="C9" s="294">
        <f>'t14'!D7</f>
        <v>0</v>
      </c>
      <c r="D9" s="375" t="str">
        <f t="shared" si="0"/>
        <v xml:space="preserve"> </v>
      </c>
      <c r="E9" s="1614"/>
      <c r="F9" s="1615"/>
      <c r="G9" s="1616"/>
      <c r="H9" s="372"/>
      <c r="I9" s="372"/>
      <c r="J9" s="372"/>
      <c r="K9" s="372"/>
      <c r="L9" s="372"/>
      <c r="M9" s="372"/>
      <c r="N9" s="372"/>
    </row>
    <row r="10" spans="1:14" ht="19.5" customHeight="1" x14ac:dyDescent="0.2">
      <c r="A10" s="195" t="str">
        <f>'t14'!A8</f>
        <v>BENESSERE DEL PERSONALE</v>
      </c>
      <c r="B10" s="297" t="str">
        <f>'t14'!B8</f>
        <v>L090</v>
      </c>
      <c r="C10" s="294">
        <f>'t14'!D8</f>
        <v>0</v>
      </c>
      <c r="D10" s="375" t="str">
        <f t="shared" si="0"/>
        <v xml:space="preserve"> </v>
      </c>
      <c r="E10" s="1614"/>
      <c r="F10" s="1615"/>
      <c r="G10" s="1616"/>
      <c r="H10" s="372"/>
      <c r="I10" s="372"/>
      <c r="J10" s="372"/>
      <c r="K10" s="372"/>
      <c r="L10" s="372"/>
      <c r="M10" s="372"/>
      <c r="N10" s="372"/>
    </row>
    <row r="11" spans="1:14" ht="19.5" customHeight="1" thickBot="1" x14ac:dyDescent="0.25">
      <c r="A11" s="195" t="str">
        <f>'t14'!A9</f>
        <v>EQUO INDENNIZZO AL PERSONALE</v>
      </c>
      <c r="B11" s="297" t="str">
        <f>'t14'!B9</f>
        <v>L100</v>
      </c>
      <c r="C11" s="294">
        <f>'t14'!D9</f>
        <v>0</v>
      </c>
      <c r="D11" s="376" t="str">
        <f t="shared" si="0"/>
        <v xml:space="preserve"> </v>
      </c>
      <c r="E11" s="1617"/>
      <c r="F11" s="1618"/>
      <c r="G11" s="1619"/>
      <c r="H11" s="372"/>
      <c r="I11" s="372"/>
      <c r="J11" s="372"/>
      <c r="K11" s="372"/>
      <c r="L11" s="372"/>
      <c r="M11" s="372"/>
      <c r="N11" s="372"/>
    </row>
    <row r="12" spans="1:14" ht="30.75" customHeight="1" thickBot="1" x14ac:dyDescent="0.25">
      <c r="A12" s="195" t="str">
        <f>'t14'!A10</f>
        <v>SOMME CORRISPOSTE AD AGENZIA DI SOMMINISTRAZIONE(INTERINALI)</v>
      </c>
      <c r="B12" s="297" t="str">
        <f>'t14'!B10</f>
        <v>L105</v>
      </c>
      <c r="C12" s="294">
        <f>'t14'!D10</f>
        <v>0</v>
      </c>
      <c r="D12" s="376" t="str">
        <f t="shared" si="0"/>
        <v xml:space="preserve"> </v>
      </c>
      <c r="E12" s="1620" t="str">
        <f>(IF(AND(C12=0,C24&gt;0),"P062 VALORIZZATA; INSERIRE SOMME SPETTANTI ALL'AGENZIA (L105)",IF(AND(C12&gt;0,C24&gt;0,C12&gt;(C24/100*30)),"ATTENZIONE: la voce L105 supera il 30% della voce P062. Il salvataggio produrrà l'INCONGRUENZA 1 che dovrà essere giustificata"," ")))</f>
        <v xml:space="preserve"> </v>
      </c>
      <c r="F12" s="1621"/>
      <c r="G12" s="1622"/>
      <c r="H12" s="372"/>
      <c r="I12" s="372"/>
      <c r="J12" s="372"/>
      <c r="K12" s="372"/>
      <c r="L12" s="372"/>
      <c r="M12" s="372"/>
      <c r="N12" s="372"/>
    </row>
    <row r="13" spans="1:14" ht="19.5" customHeight="1" thickBot="1" x14ac:dyDescent="0.25">
      <c r="A13" s="195" t="str">
        <f>'t14'!A11</f>
        <v>COPERTURE ASSICURATIVE</v>
      </c>
      <c r="B13" s="297" t="str">
        <f>'t14'!B11</f>
        <v>L107</v>
      </c>
      <c r="C13" s="294">
        <f>'t14'!D11</f>
        <v>0</v>
      </c>
      <c r="D13" s="374" t="str">
        <f t="shared" ref="D13:D21" si="1">IF($B$4=0," ",(IF(C13=0," ",C13/$B$4)))</f>
        <v xml:space="preserve"> </v>
      </c>
      <c r="E13" s="1623" t="str">
        <f>IF($B$4=0,"TABELLE 12 -13 ASSENTI",(IF('t12'!$K$26=0,"TAB. 12 ASSENTE",(IF('t13'!$V$26=0,"TAB. 13 ASSENTE"," ")))))</f>
        <v>TABELLE 12 -13 ASSENTI</v>
      </c>
      <c r="F13" s="1624" t="s">
        <v>279</v>
      </c>
      <c r="G13" s="1625" t="s">
        <v>279</v>
      </c>
      <c r="H13" s="372"/>
      <c r="I13" s="372"/>
      <c r="J13" s="372"/>
      <c r="K13" s="372"/>
      <c r="L13" s="372"/>
      <c r="M13" s="372"/>
      <c r="N13" s="372"/>
    </row>
    <row r="14" spans="1:14" ht="41.25" customHeight="1" thickBot="1" x14ac:dyDescent="0.25">
      <c r="A14" s="195" t="str">
        <f>'t14'!A12</f>
        <v xml:space="preserve">CONTRATTI DI COLLABORAZIONE PROFESSIONALE </v>
      </c>
      <c r="B14" s="297" t="str">
        <f>'t14'!B12</f>
        <v>L111</v>
      </c>
      <c r="C14" s="294">
        <f>'t14'!D12</f>
        <v>0</v>
      </c>
      <c r="D14" s="375" t="str">
        <f t="shared" si="1"/>
        <v xml:space="preserve"> </v>
      </c>
      <c r="E14" s="1620" t="str">
        <f>IF(SI_1!G56=0,IF('t14'!D12=0," ","MANCA IL NUMERO DEI CONTRATTI NELLA SI_1"),IF('t14'!D12=0,"VERIFICARE SE INSERIRE LE SPESE"," "))</f>
        <v xml:space="preserve"> </v>
      </c>
      <c r="F14" s="1624"/>
      <c r="G14" s="318" t="str">
        <f>IF(AND(C14&gt;0,SI_1!G56&gt;0),"VALORE MEDIO UNITARIO DI SPESA =  "&amp;C14/SI_1!G56," ")</f>
        <v xml:space="preserve"> </v>
      </c>
      <c r="H14" s="372"/>
      <c r="I14" s="372"/>
      <c r="J14" s="372"/>
      <c r="K14" s="372"/>
      <c r="L14" s="372"/>
      <c r="M14" s="372"/>
      <c r="N14" s="372"/>
    </row>
    <row r="15" spans="1:14" ht="41.25" customHeight="1" thickBot="1" x14ac:dyDescent="0.25">
      <c r="A15" s="195" t="str">
        <f>'t14'!A13</f>
        <v xml:space="preserve">INCARICHI DI STUDIO/RICERCA/CONSULENZA </v>
      </c>
      <c r="B15" s="297" t="str">
        <f>'t14'!B13</f>
        <v>L112</v>
      </c>
      <c r="C15" s="294">
        <f>'t14'!D13</f>
        <v>0</v>
      </c>
      <c r="D15" s="375" t="str">
        <f t="shared" si="1"/>
        <v xml:space="preserve"> </v>
      </c>
      <c r="E15" s="1620" t="str">
        <f>IF(SI_1!G59=0,IF('t14'!D13=0," ","MANCA IL NUMERO DEI CONTRATTI NELLA SI_1"),IF('t14'!D13=0,"VERIFICARE SE INSERIRE LE SPESE"," "))</f>
        <v xml:space="preserve"> </v>
      </c>
      <c r="F15" s="1624"/>
      <c r="G15" s="318" t="str">
        <f>IF(AND(C15&gt;0,SI_1!G59&gt;0),"VALORE MEDIO UNITARIO DI SPESA =  "&amp;C15/SI_1!G59," ")</f>
        <v xml:space="preserve"> </v>
      </c>
      <c r="H15" s="372"/>
      <c r="I15" s="372"/>
      <c r="J15" s="372"/>
      <c r="K15" s="372"/>
      <c r="L15" s="372"/>
      <c r="M15" s="372"/>
      <c r="N15" s="372"/>
    </row>
    <row r="16" spans="1:14" ht="41.25" customHeight="1" thickBot="1" x14ac:dyDescent="0.25">
      <c r="A16" s="195" t="str">
        <f>'t14'!A14</f>
        <v>CONTRATTI PER RESA SERVIZI/ADEMPIMENTI OBBLIGATORI PER LEGGE</v>
      </c>
      <c r="B16" s="297" t="str">
        <f>'t14'!B14</f>
        <v>L115</v>
      </c>
      <c r="C16" s="294">
        <f>'t14'!D14</f>
        <v>0</v>
      </c>
      <c r="D16" s="375" t="str">
        <f>IF($B$4=0," ",(IF(C16=0," ",C16/$B$4)))</f>
        <v xml:space="preserve"> </v>
      </c>
      <c r="E16" s="1620" t="str">
        <f>IF(SI_1!G62=0,IF('t14'!D14=0," ","MANCA IL NUMERO DEI CONTRATTI NELLA SI_1"),IF('t14'!D14=0,"VERIFICARE SE INSERIRE LE SPESE"," "))</f>
        <v xml:space="preserve"> </v>
      </c>
      <c r="F16" s="1624"/>
      <c r="G16" s="318" t="str">
        <f>IF(AND(C16&gt;0,SI_1!G62&gt;0),"VALORE MEDIO UNITARIO DI SPESA =  "&amp;C16/SI_1!G62," ")</f>
        <v xml:space="preserve"> </v>
      </c>
      <c r="H16" s="372"/>
      <c r="I16" s="372"/>
      <c r="J16" s="372"/>
      <c r="K16" s="372"/>
      <c r="L16" s="372"/>
      <c r="M16" s="372"/>
      <c r="N16" s="372"/>
    </row>
    <row r="17" spans="1:14" ht="19.5" customHeight="1" x14ac:dyDescent="0.2">
      <c r="A17" s="195" t="str">
        <f>'t14'!A15</f>
        <v>ALTRE SPESE</v>
      </c>
      <c r="B17" s="297" t="str">
        <f>'t14'!B15</f>
        <v>L110</v>
      </c>
      <c r="C17" s="294">
        <f>'t14'!D15</f>
        <v>0</v>
      </c>
      <c r="D17" s="375" t="str">
        <f t="shared" si="1"/>
        <v xml:space="preserve"> </v>
      </c>
      <c r="E17" s="1611" t="str">
        <f>IF($B$4=0,"TABELLE 12 -13 ASSENTI",(IF('t12'!K26=0,"TAB. 12 ASSENTE",(IF('t13'!V26=0,"TAB. 13 ASSENTE"," ")))))</f>
        <v>TABELLE 12 -13 ASSENTI</v>
      </c>
      <c r="F17" s="1626" t="s">
        <v>279</v>
      </c>
      <c r="G17" s="1627" t="s">
        <v>279</v>
      </c>
      <c r="H17" s="372"/>
      <c r="I17" s="372"/>
      <c r="J17" s="372"/>
      <c r="K17" s="372"/>
      <c r="L17" s="372"/>
      <c r="M17" s="372"/>
      <c r="N17" s="372"/>
    </row>
    <row r="18" spans="1:14" ht="19.5" customHeight="1" x14ac:dyDescent="0.2">
      <c r="A18" s="195" t="str">
        <f>'t14'!A16</f>
        <v>RETRIBUZIONI PERSONALE  A TEMPO DETERMINATO</v>
      </c>
      <c r="B18" s="297" t="str">
        <f>'t14'!B16</f>
        <v>P015</v>
      </c>
      <c r="C18" s="294">
        <f>'t14'!D16</f>
        <v>0</v>
      </c>
      <c r="D18" s="375" t="str">
        <f t="shared" si="1"/>
        <v xml:space="preserve"> </v>
      </c>
      <c r="E18" s="1628" t="s">
        <v>279</v>
      </c>
      <c r="F18" s="1629" t="s">
        <v>279</v>
      </c>
      <c r="G18" s="1630" t="s">
        <v>279</v>
      </c>
      <c r="H18" s="372"/>
      <c r="I18" s="372"/>
      <c r="J18" s="372"/>
      <c r="K18" s="372"/>
      <c r="L18" s="372"/>
      <c r="M18" s="372"/>
      <c r="N18" s="372"/>
    </row>
    <row r="19" spans="1:14" ht="19.5" customHeight="1" x14ac:dyDescent="0.2">
      <c r="A19" s="195" t="str">
        <f>'t14'!A17</f>
        <v>RETRIBUZIONI PERSONALE CON CONTRATTO DI FORMAZIONE E LAVORO</v>
      </c>
      <c r="B19" s="297" t="str">
        <f>'t14'!B17</f>
        <v>P016</v>
      </c>
      <c r="C19" s="294">
        <f>'t14'!D17</f>
        <v>0</v>
      </c>
      <c r="D19" s="375" t="str">
        <f t="shared" si="1"/>
        <v xml:space="preserve"> </v>
      </c>
      <c r="E19" s="1628" t="s">
        <v>279</v>
      </c>
      <c r="F19" s="1629" t="s">
        <v>279</v>
      </c>
      <c r="G19" s="1630" t="s">
        <v>279</v>
      </c>
      <c r="H19" s="372"/>
      <c r="I19" s="372"/>
      <c r="J19" s="372"/>
      <c r="K19" s="372"/>
      <c r="L19" s="372"/>
      <c r="M19" s="372"/>
      <c r="N19" s="372"/>
    </row>
    <row r="20" spans="1:14" ht="19.5" customHeight="1" thickBot="1" x14ac:dyDescent="0.25">
      <c r="A20" s="195" t="str">
        <f>'t14'!A18</f>
        <v>INDENNITA' DI MISSIONE E TRASFERIMENTO</v>
      </c>
      <c r="B20" s="297" t="str">
        <f>'t14'!B18</f>
        <v>P030</v>
      </c>
      <c r="C20" s="294">
        <f>'t14'!D18</f>
        <v>0</v>
      </c>
      <c r="D20" s="375" t="str">
        <f t="shared" si="1"/>
        <v xml:space="preserve"> </v>
      </c>
      <c r="E20" s="1631" t="s">
        <v>279</v>
      </c>
      <c r="F20" s="1632" t="s">
        <v>279</v>
      </c>
      <c r="G20" s="1633" t="s">
        <v>279</v>
      </c>
      <c r="H20" s="372"/>
      <c r="I20" s="372"/>
      <c r="J20" s="372"/>
      <c r="K20" s="372"/>
      <c r="L20" s="372"/>
      <c r="M20" s="372"/>
      <c r="N20" s="372"/>
    </row>
    <row r="21" spans="1:14" ht="30.75" customHeight="1" thickBot="1" x14ac:dyDescent="0.25">
      <c r="A21" s="195" t="str">
        <f>'t14'!A20</f>
        <v>CONTRIBUTI A CARICO DELL'AMM.NE SU COMP. FISSE E ACCESSORIE</v>
      </c>
      <c r="B21" s="297" t="str">
        <f>'t14'!B20</f>
        <v>P055</v>
      </c>
      <c r="C21" s="294">
        <f>'t14'!D20</f>
        <v>0</v>
      </c>
      <c r="D21" s="375" t="str">
        <f t="shared" si="1"/>
        <v xml:space="preserve"> </v>
      </c>
      <c r="E21" s="439" t="str">
        <f>IF(AND(C31=0,B4=0)," ",IF(C31=0,"TABELLA 14 ASSENTE",IF(AND(B4=0,C18=0,C19=0,C25=0),"INSERIRE RETRIBUZIONI",IF(C21=0,"INSERIRE CONTRIBUTI",ROUND((C21/(B4+C18+C19+C25)*100),2)))))</f>
        <v xml:space="preserve"> </v>
      </c>
      <c r="F21" s="1621" t="str">
        <f>IF(AND(B4=0,C31=0)," ",IF(C31=0,"VALORE INCONGRUENTE",IF(C21=0," ",IF(OR(E21&lt;22.1,E21&gt;29.9),"VALORE INCONGRUENTE (Inc. 4)","OK"))))</f>
        <v xml:space="preserve"> </v>
      </c>
      <c r="G21" s="1622"/>
      <c r="H21" s="372"/>
      <c r="I21" s="372"/>
      <c r="J21" s="372"/>
      <c r="K21" s="372"/>
      <c r="L21" s="372"/>
      <c r="M21" s="372"/>
      <c r="N21" s="372"/>
    </row>
    <row r="22" spans="1:14" ht="30.75" customHeight="1" thickBot="1" x14ac:dyDescent="0.25">
      <c r="A22" s="195" t="str">
        <f>'t14'!A21</f>
        <v>QUOTE ANNUE ACCANTONAMENTO TFR O ALTRA IND. FINE SERVIZIO</v>
      </c>
      <c r="B22" s="297" t="str">
        <f>'t14'!B21</f>
        <v>P058</v>
      </c>
      <c r="C22" s="294">
        <f>'t14'!D21</f>
        <v>0</v>
      </c>
      <c r="D22" s="375" t="str">
        <f>IF($B$4=0," ",(IF(C22=0," ",C22/$B$4)))</f>
        <v xml:space="preserve"> </v>
      </c>
      <c r="E22" s="1614" t="str">
        <f>IF($B$4=0,"TABELLE 12 -13 ASSENTI",(IF('t12'!$K$26=0,"TAB. 12 ASSENTE",(IF('t13'!$V$26=0,"TAB. 13 ASSENTE"," ")))))</f>
        <v>TABELLE 12 -13 ASSENTI</v>
      </c>
      <c r="F22" s="1615" t="s">
        <v>279</v>
      </c>
      <c r="G22" s="1616" t="s">
        <v>279</v>
      </c>
      <c r="H22" s="372"/>
      <c r="I22" s="372"/>
      <c r="J22" s="372"/>
      <c r="K22" s="372"/>
      <c r="L22" s="372"/>
      <c r="M22" s="372"/>
      <c r="N22" s="372"/>
    </row>
    <row r="23" spans="1:14" ht="24" customHeight="1" thickBot="1" x14ac:dyDescent="0.25">
      <c r="A23" s="195" t="str">
        <f>'t14'!A22</f>
        <v>IRAP</v>
      </c>
      <c r="B23" s="297" t="str">
        <f>'t14'!B22</f>
        <v>P061</v>
      </c>
      <c r="C23" s="294">
        <f>'t14'!D22</f>
        <v>0</v>
      </c>
      <c r="D23" s="375" t="str">
        <f>IF($B$4=0," ",IF(C23=0," ",C23/$B$4))</f>
        <v xml:space="preserve"> </v>
      </c>
      <c r="E23" s="439" t="str">
        <f>IF(AND(B4=0,C31=0)," ",IF(C31=0,"TABELLA 14 ASSENTE",IF(AND(B4=0,C18=0,C19=0,C25=0),"INSERIRE RETRIBUZIONI",IF(C23=0,"INSERIRE SOMME IRAP",ROUND((C23/(B4+C18+C19+C25)*100),2)))))</f>
        <v xml:space="preserve"> </v>
      </c>
      <c r="F23" s="1621" t="str">
        <f>IF('t14'!G22=1,IF(E23&gt;8.5,"VALORE INCONGRUENTE (Inc.4)","E' stata dichiarata IRAP Commerciale"),IF(AND(B4=0,C31=0)," ",IF(C31=0,"VALORE INCONGRUENTE",IF(C23=0," ",IF(OR(E23&lt;7.65,E23&gt;9.35),"VALORE INCONGRUENTE (Inc.4)","OK")))))</f>
        <v xml:space="preserve"> </v>
      </c>
      <c r="G23" s="1622"/>
      <c r="H23" s="372"/>
      <c r="I23" s="372"/>
      <c r="J23" s="372"/>
      <c r="K23" s="372"/>
      <c r="L23" s="372"/>
      <c r="M23" s="372"/>
      <c r="N23" s="372"/>
    </row>
    <row r="24" spans="1:14" ht="19.5" customHeight="1" thickBot="1" x14ac:dyDescent="0.25">
      <c r="A24" s="195" t="str">
        <f>'t14'!A23</f>
        <v>ONERI PER I CONTRATTI DI SOMMINISTRAZIONE(INTERINALI)</v>
      </c>
      <c r="B24" s="297" t="str">
        <f>'t14'!B23</f>
        <v>P062</v>
      </c>
      <c r="C24" s="295">
        <f>'t14'!D23</f>
        <v>0</v>
      </c>
      <c r="D24" s="377" t="str">
        <f>IF($B$4=0," ",(IF(AND(C24=0,C12&gt;0),"MANCANO GLI ONERI PER I LAVORATORI",IF(C24=0," ",C24/$B$4))))</f>
        <v xml:space="preserve"> </v>
      </c>
      <c r="E24" s="1623" t="str">
        <f>(IF(AND(C24=0,C12&gt;0),"L105 VALORIZZATA; INSERIRE RETRIBUZIONI PER INTERINALI (P062)"," "))</f>
        <v xml:space="preserve"> </v>
      </c>
      <c r="F24" s="1634"/>
      <c r="G24" s="1635"/>
      <c r="H24" s="372"/>
      <c r="I24" s="372"/>
      <c r="J24" s="372"/>
      <c r="K24" s="372"/>
      <c r="L24" s="372"/>
      <c r="M24" s="372"/>
      <c r="N24" s="372"/>
    </row>
    <row r="25" spans="1:14" ht="19.5" customHeight="1" x14ac:dyDescent="0.2">
      <c r="A25" s="195" t="str">
        <f>'t14'!A24</f>
        <v>COMPENSI PER PERSONALE LSU/LPU</v>
      </c>
      <c r="B25" s="297" t="str">
        <f>'t14'!B24</f>
        <v>P065</v>
      </c>
      <c r="C25" s="294">
        <f>'t14'!D24</f>
        <v>0</v>
      </c>
      <c r="D25" s="379" t="str">
        <f t="shared" ref="D25:D30" si="2">IF($B$4=0," ",(IF(C25=0," ",C25/$B$4)))</f>
        <v xml:space="preserve"> </v>
      </c>
      <c r="E25" s="1611" t="str">
        <f>IF($B$4=0,"TABELLE 12 -13 ASSENTI",(IF('t12'!$K$26=0,"TAB. 12 ASSENTE",(IF('t13'!$V$26=0,"TAB. 13 ASSENTE"," ")))))</f>
        <v>TABELLE 12 -13 ASSENTI</v>
      </c>
      <c r="F25" s="1612"/>
      <c r="G25" s="1613"/>
      <c r="H25" s="372"/>
      <c r="I25" s="372"/>
      <c r="J25" s="372"/>
      <c r="K25" s="372"/>
      <c r="L25" s="372"/>
      <c r="M25" s="372"/>
      <c r="N25" s="372"/>
    </row>
    <row r="26" spans="1:14" ht="19.5" customHeight="1" x14ac:dyDescent="0.2">
      <c r="A26" s="195" t="str">
        <f>'t14'!A25</f>
        <v>SOMME RIMBORSATE PER PERSONALE COMAND./FUORI RUOLO/IN CONV.</v>
      </c>
      <c r="B26" s="297" t="str">
        <f>'t14'!B25</f>
        <v>P071</v>
      </c>
      <c r="C26" s="294">
        <f>'t14'!D25</f>
        <v>0</v>
      </c>
      <c r="D26" s="378" t="str">
        <f t="shared" si="2"/>
        <v xml:space="preserve"> </v>
      </c>
      <c r="E26" s="1614"/>
      <c r="F26" s="1615"/>
      <c r="G26" s="1616"/>
      <c r="H26" s="372"/>
      <c r="I26" s="372"/>
      <c r="J26" s="372"/>
      <c r="K26" s="372"/>
      <c r="L26" s="372"/>
      <c r="M26" s="372"/>
      <c r="N26" s="372"/>
    </row>
    <row r="27" spans="1:14" ht="19.5" customHeight="1" x14ac:dyDescent="0.2">
      <c r="A27" s="195" t="str">
        <f>'t14'!A26</f>
        <v>ALTRE SOMME RIMBORSATE ALLE AMMINISTRAZIONI</v>
      </c>
      <c r="B27" s="297" t="str">
        <f>'t14'!B26</f>
        <v>P074</v>
      </c>
      <c r="C27" s="294">
        <f>'t14'!D26</f>
        <v>0</v>
      </c>
      <c r="D27" s="378" t="str">
        <f t="shared" si="2"/>
        <v xml:space="preserve"> </v>
      </c>
      <c r="E27" s="1614"/>
      <c r="F27" s="1615"/>
      <c r="G27" s="1616"/>
      <c r="H27" s="372"/>
      <c r="I27" s="372"/>
      <c r="J27" s="372"/>
      <c r="K27" s="372"/>
      <c r="L27" s="372"/>
      <c r="M27" s="372"/>
      <c r="N27" s="372"/>
    </row>
    <row r="28" spans="1:14" ht="19.5" customHeight="1" x14ac:dyDescent="0.2">
      <c r="A28" s="195" t="str">
        <f>'t14'!A27</f>
        <v>SOMME RICEVUTE DA U.E. E/O PRIVATI (-)</v>
      </c>
      <c r="B28" s="297" t="str">
        <f>'t14'!B27</f>
        <v>P098</v>
      </c>
      <c r="C28" s="294">
        <f>'t14'!D27</f>
        <v>0</v>
      </c>
      <c r="D28" s="378" t="str">
        <f t="shared" si="2"/>
        <v xml:space="preserve"> </v>
      </c>
      <c r="E28" s="1614"/>
      <c r="F28" s="1615"/>
      <c r="G28" s="1616"/>
      <c r="H28" s="372"/>
      <c r="I28" s="372"/>
      <c r="J28" s="372"/>
      <c r="K28" s="372"/>
      <c r="L28" s="372"/>
      <c r="M28" s="372"/>
      <c r="N28" s="372"/>
    </row>
    <row r="29" spans="1:14" ht="19.5" customHeight="1" x14ac:dyDescent="0.2">
      <c r="A29" s="195" t="str">
        <f>'t14'!A28</f>
        <v>RIMBORSI RICEVUTI PER PERS. COMAND./FUORI RUOLO/IN CONV. (-)</v>
      </c>
      <c r="B29" s="297" t="str">
        <f>'t14'!B28</f>
        <v>P090</v>
      </c>
      <c r="C29" s="294">
        <f>'t14'!D28</f>
        <v>0</v>
      </c>
      <c r="D29" s="378" t="str">
        <f t="shared" si="2"/>
        <v xml:space="preserve"> </v>
      </c>
      <c r="E29" s="1614"/>
      <c r="F29" s="1615"/>
      <c r="G29" s="1616"/>
      <c r="H29" s="372"/>
      <c r="I29" s="372"/>
      <c r="J29" s="372"/>
      <c r="K29" s="372"/>
      <c r="L29" s="372"/>
      <c r="M29" s="372"/>
      <c r="N29" s="372"/>
    </row>
    <row r="30" spans="1:14" ht="19.5" customHeight="1" thickBot="1" x14ac:dyDescent="0.25">
      <c r="A30" s="195" t="str">
        <f>'t14'!A29</f>
        <v>ALTRI RIMBORSI RICEVUTI DALLE AMMINISTRAZIONI (-)</v>
      </c>
      <c r="B30" s="297" t="str">
        <f>'t14'!B29</f>
        <v>P099</v>
      </c>
      <c r="C30" s="294">
        <f>'t14'!D29</f>
        <v>0</v>
      </c>
      <c r="D30" s="378" t="str">
        <f t="shared" si="2"/>
        <v xml:space="preserve"> </v>
      </c>
      <c r="E30" s="1617"/>
      <c r="F30" s="1618"/>
      <c r="G30" s="1619"/>
      <c r="H30" s="372"/>
      <c r="I30" s="372"/>
      <c r="J30" s="372"/>
      <c r="K30" s="372"/>
      <c r="L30" s="372"/>
      <c r="M30" s="372"/>
      <c r="N30" s="372"/>
    </row>
    <row r="31" spans="1:14" ht="19.5" customHeight="1" x14ac:dyDescent="0.2">
      <c r="A31" s="369" t="s">
        <v>60</v>
      </c>
      <c r="B31" s="369"/>
      <c r="C31" s="370">
        <f>SUM(C6:C30)</f>
        <v>0</v>
      </c>
      <c r="D31" s="369"/>
      <c r="E31" s="369"/>
      <c r="F31" s="369"/>
      <c r="G31" s="369"/>
      <c r="H31" s="372"/>
      <c r="I31" s="372"/>
      <c r="J31" s="372"/>
      <c r="K31" s="372"/>
      <c r="L31" s="372"/>
      <c r="M31" s="372"/>
      <c r="N31" s="372"/>
    </row>
    <row r="32" spans="1:14" s="371" customFormat="1" ht="18" customHeight="1" x14ac:dyDescent="0.2">
      <c r="A32" s="373"/>
      <c r="B32" s="373"/>
      <c r="C32" s="373"/>
      <c r="D32" s="373"/>
      <c r="E32" s="373"/>
      <c r="F32" s="373"/>
      <c r="G32" s="373"/>
      <c r="I32" s="373"/>
      <c r="J32" s="373"/>
      <c r="K32" s="373"/>
      <c r="L32" s="373"/>
      <c r="M32" s="373"/>
      <c r="N32" s="373"/>
    </row>
  </sheetData>
  <sheetProtection password="DD41" sheet="1" formatColumns="0" selectLockedCells="1" selectUnlockedCells="1"/>
  <mergeCells count="16">
    <mergeCell ref="A1:E1"/>
    <mergeCell ref="B2:G2"/>
    <mergeCell ref="B4:G4"/>
    <mergeCell ref="E5:G5"/>
    <mergeCell ref="E25:G30"/>
    <mergeCell ref="E6:G11"/>
    <mergeCell ref="E12:G12"/>
    <mergeCell ref="F21:G21"/>
    <mergeCell ref="F23:G23"/>
    <mergeCell ref="E13:G13"/>
    <mergeCell ref="E17:G20"/>
    <mergeCell ref="E22:G22"/>
    <mergeCell ref="E14:F14"/>
    <mergeCell ref="E15:F15"/>
    <mergeCell ref="E24:G24"/>
    <mergeCell ref="E16:F16"/>
  </mergeCells>
  <phoneticPr fontId="30" type="noConversion"/>
  <printOptions horizontalCentered="1" verticalCentered="1"/>
  <pageMargins left="0.19685039370078741" right="0.23622047244094491" top="0.19685039370078741" bottom="0.19685039370078741" header="0.15748031496062992" footer="0.15748031496062992"/>
  <pageSetup paperSize="9" scale="72" orientation="landscape" horizontalDpi="300" verticalDpi="300" r:id="rId1"/>
  <headerFooter alignWithMargins="0"/>
  <ignoredErrors>
    <ignoredError sqref="D2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3B86-116A-49F2-AFB9-EB5E68CDB0E5}">
  <dimension ref="A1:IX10"/>
  <sheetViews>
    <sheetView workbookViewId="0">
      <selection activeCell="AA7" sqref="AA7"/>
    </sheetView>
  </sheetViews>
  <sheetFormatPr defaultRowHeight="10.199999999999999" x14ac:dyDescent="0.2"/>
  <cols>
    <col min="1" max="1" width="39.42578125" customWidth="1"/>
    <col min="2" max="2" width="9.140625" customWidth="1"/>
    <col min="3" max="18" width="9.140625" hidden="1" customWidth="1"/>
    <col min="19" max="20" width="11.28515625" hidden="1" customWidth="1"/>
    <col min="21" max="26" width="9.140625" hidden="1" customWidth="1"/>
    <col min="39" max="42" width="0" hidden="1" customWidth="1"/>
    <col min="43" max="44" width="11.28515625" customWidth="1"/>
    <col min="45" max="45" width="3" customWidth="1"/>
    <col min="46" max="47" width="11" customWidth="1"/>
  </cols>
  <sheetData>
    <row r="1" spans="1:258" s="3" customFormat="1" ht="43.5" customHeight="1" x14ac:dyDescent="0.2">
      <c r="A1" s="1463" t="str">
        <f>'t1'!A1</f>
        <v>ENTI PUBBLICI NON ECONOMICI - anno 2023</v>
      </c>
      <c r="B1" s="1463"/>
      <c r="C1" s="1463"/>
      <c r="D1" s="1463"/>
      <c r="E1" s="1463"/>
      <c r="F1" s="1463"/>
      <c r="G1" s="1463"/>
      <c r="H1" s="1463"/>
      <c r="I1" s="1463"/>
      <c r="J1" s="1463"/>
      <c r="K1" s="1463"/>
      <c r="L1" s="1463"/>
      <c r="M1" s="1463"/>
      <c r="N1" s="1463"/>
      <c r="O1" s="1463"/>
      <c r="P1" s="1463"/>
      <c r="Q1" s="1463"/>
      <c r="R1" s="1463"/>
      <c r="S1" s="1463"/>
      <c r="T1" s="1463"/>
      <c r="U1" s="1463"/>
      <c r="V1" s="1463"/>
      <c r="W1" s="1463"/>
      <c r="X1" s="1463"/>
      <c r="Y1" s="1463"/>
      <c r="Z1" s="1463"/>
      <c r="AA1" s="1463"/>
      <c r="AB1" s="1463"/>
      <c r="AC1" s="1463"/>
      <c r="AD1" s="1463"/>
      <c r="AE1" s="1463"/>
      <c r="AF1" s="1463"/>
      <c r="AG1" s="1463"/>
      <c r="AH1" s="1463"/>
      <c r="AI1" s="1463"/>
      <c r="AJ1" s="1463"/>
      <c r="AK1" s="1463"/>
      <c r="AL1" s="1463"/>
      <c r="AM1" s="1463"/>
      <c r="AN1" s="1463"/>
      <c r="AO1" s="1463"/>
      <c r="AP1" s="1463"/>
      <c r="AQ1" s="1463"/>
      <c r="AR1" s="1463"/>
      <c r="AS1" s="1463"/>
      <c r="AT1" s="1463"/>
      <c r="AU1" s="1463"/>
    </row>
    <row r="2" spans="1:258" s="3" customFormat="1" ht="30" customHeight="1" x14ac:dyDescent="0.2">
      <c r="A2" s="1463"/>
      <c r="B2" s="1463"/>
      <c r="C2" s="1463"/>
      <c r="D2" s="1463"/>
      <c r="E2" s="1463"/>
      <c r="F2" s="1463"/>
      <c r="G2" s="1463"/>
      <c r="H2" s="1463"/>
      <c r="I2" s="1463"/>
      <c r="J2" s="1463"/>
      <c r="K2" s="1463"/>
      <c r="L2" s="1463"/>
      <c r="M2" s="1463"/>
      <c r="N2" s="1463"/>
      <c r="O2" s="1463"/>
      <c r="P2" s="1463"/>
      <c r="Q2" s="1463"/>
      <c r="R2" s="1463"/>
      <c r="S2" s="1463"/>
      <c r="T2" s="1463"/>
      <c r="U2" s="1463"/>
      <c r="V2" s="1463"/>
      <c r="W2" s="1463"/>
      <c r="X2" s="1463"/>
      <c r="Y2" s="1463"/>
      <c r="Z2" s="1463"/>
      <c r="AA2" s="1463"/>
      <c r="AB2" s="1463"/>
      <c r="AC2" s="1463"/>
      <c r="AD2" s="1463"/>
      <c r="AE2" s="1463"/>
      <c r="AF2" s="1463"/>
      <c r="AG2" s="1463"/>
      <c r="AH2" s="1463"/>
      <c r="AI2" s="1463"/>
      <c r="AJ2" s="1463"/>
      <c r="AK2" s="1463"/>
      <c r="AL2" s="1463"/>
      <c r="AM2" s="1463"/>
      <c r="AN2" s="1463"/>
      <c r="AO2" s="1463"/>
      <c r="AP2" s="1463"/>
      <c r="AQ2" s="1463"/>
      <c r="AR2" s="1463"/>
      <c r="AS2" s="1463"/>
      <c r="AT2" s="1463"/>
      <c r="AU2" s="1463"/>
    </row>
    <row r="3" spans="1:258" s="3" customFormat="1" ht="4.8" customHeight="1" thickBot="1" x14ac:dyDescent="0.25">
      <c r="A3" s="320"/>
      <c r="B3" s="320"/>
      <c r="C3" s="320"/>
      <c r="D3" s="320"/>
      <c r="E3" s="320"/>
      <c r="F3" s="320"/>
      <c r="G3" s="320"/>
      <c r="H3" s="320"/>
      <c r="I3" s="320"/>
      <c r="J3" s="320"/>
      <c r="K3" s="320"/>
      <c r="L3" s="320"/>
      <c r="M3" s="320"/>
      <c r="N3" s="320"/>
      <c r="O3" s="320"/>
      <c r="P3" s="320"/>
      <c r="Q3" s="320"/>
      <c r="R3" s="320"/>
      <c r="S3" s="320"/>
      <c r="T3" s="320"/>
      <c r="U3" s="320"/>
      <c r="V3" s="320"/>
      <c r="W3" s="320"/>
      <c r="X3" s="320"/>
      <c r="Y3" s="320"/>
      <c r="Z3" s="320"/>
      <c r="AA3" s="320"/>
      <c r="AB3" s="320"/>
      <c r="AC3" s="320"/>
      <c r="AD3" s="320"/>
      <c r="AE3" s="320"/>
      <c r="AF3" s="320"/>
      <c r="AG3" s="320"/>
      <c r="AH3" s="320"/>
      <c r="AI3" s="320"/>
      <c r="AJ3" s="320"/>
      <c r="AK3" s="320"/>
      <c r="AL3" s="320"/>
      <c r="AM3" s="320"/>
      <c r="AN3" s="320"/>
      <c r="AO3" s="320"/>
      <c r="AP3" s="320"/>
      <c r="AQ3" s="320"/>
      <c r="AR3" s="320"/>
      <c r="AS3" s="320"/>
      <c r="AT3" s="320"/>
      <c r="AU3" s="320"/>
    </row>
    <row r="4" spans="1:258" ht="13.2" x14ac:dyDescent="0.25">
      <c r="A4" s="1468" t="s">
        <v>1206</v>
      </c>
      <c r="B4" s="1471" t="s">
        <v>97</v>
      </c>
      <c r="C4" s="1474" t="s">
        <v>1086</v>
      </c>
      <c r="D4" s="1475"/>
      <c r="E4" s="1475"/>
      <c r="F4" s="1475"/>
      <c r="G4" s="1475"/>
      <c r="H4" s="1475"/>
      <c r="I4" s="1475"/>
      <c r="J4" s="1475"/>
      <c r="K4" s="1475"/>
      <c r="L4" s="1475"/>
      <c r="M4" s="1475"/>
      <c r="N4" s="1475"/>
      <c r="O4" s="1475"/>
      <c r="P4" s="1475"/>
      <c r="Q4" s="1475"/>
      <c r="R4" s="1475"/>
      <c r="S4" s="1475"/>
      <c r="T4" s="1476"/>
      <c r="U4" s="1308"/>
      <c r="V4" s="1308"/>
      <c r="W4" s="1308"/>
      <c r="X4" s="1308"/>
      <c r="Y4" s="1308"/>
      <c r="Z4" s="1308"/>
      <c r="AA4" s="1477" t="s">
        <v>1086</v>
      </c>
      <c r="AB4" s="1475"/>
      <c r="AC4" s="1475"/>
      <c r="AD4" s="1475"/>
      <c r="AE4" s="1475"/>
      <c r="AF4" s="1475"/>
      <c r="AG4" s="1475"/>
      <c r="AH4" s="1475"/>
      <c r="AI4" s="1475"/>
      <c r="AJ4" s="1475"/>
      <c r="AK4" s="1475"/>
      <c r="AL4" s="1475"/>
      <c r="AM4" s="1475"/>
      <c r="AN4" s="1475"/>
      <c r="AO4" s="1475"/>
      <c r="AP4" s="1475"/>
      <c r="AQ4" s="1475"/>
      <c r="AR4" s="1476"/>
      <c r="AT4" s="1309" t="s">
        <v>1202</v>
      </c>
      <c r="AU4" s="1310"/>
      <c r="AV4" s="1308"/>
      <c r="AY4" s="1308"/>
      <c r="AZ4" s="1308"/>
      <c r="BA4" s="1308"/>
      <c r="BB4" s="1308"/>
      <c r="BC4" s="1308"/>
      <c r="BD4" s="1308"/>
      <c r="BE4" s="1308"/>
      <c r="BF4" s="1308"/>
      <c r="BG4" s="1308"/>
      <c r="BH4" s="1308"/>
      <c r="BI4" s="1308"/>
      <c r="BJ4" s="1308"/>
      <c r="BK4" s="1308"/>
      <c r="BL4" s="1308"/>
      <c r="BM4" s="1308"/>
      <c r="BN4" s="1308"/>
      <c r="BO4" s="1308"/>
      <c r="BP4" s="1308"/>
      <c r="BQ4" s="1308"/>
      <c r="BR4" s="1308"/>
      <c r="BS4" s="1308"/>
      <c r="BT4" s="1308"/>
      <c r="BU4" s="1308"/>
      <c r="BV4" s="1308"/>
      <c r="BW4" s="1308"/>
      <c r="BX4" s="1308"/>
      <c r="BY4" s="1308"/>
      <c r="BZ4" s="1308"/>
      <c r="CA4" s="1308"/>
      <c r="CB4" s="1308"/>
      <c r="CC4" s="1308"/>
      <c r="CD4" s="1308"/>
      <c r="CE4" s="1308"/>
      <c r="CF4" s="1308"/>
      <c r="CG4" s="1308"/>
      <c r="CH4" s="1308"/>
      <c r="CI4" s="1308"/>
      <c r="CJ4" s="1308"/>
      <c r="CK4" s="1308"/>
      <c r="CL4" s="1308"/>
      <c r="CM4" s="1308"/>
      <c r="CN4" s="1308"/>
      <c r="CO4" s="1308"/>
      <c r="CP4" s="1308"/>
      <c r="CQ4" s="1308"/>
      <c r="CR4" s="1308"/>
      <c r="CS4" s="1308"/>
      <c r="CT4" s="1308"/>
      <c r="CU4" s="1308"/>
      <c r="CV4" s="1308"/>
      <c r="CW4" s="1308"/>
      <c r="CX4" s="1308"/>
      <c r="CY4" s="1308"/>
      <c r="CZ4" s="1308"/>
      <c r="DA4" s="1308"/>
      <c r="DB4" s="1308"/>
      <c r="DC4" s="1308"/>
      <c r="DD4" s="1308"/>
      <c r="DE4" s="1308"/>
      <c r="DF4" s="1308"/>
      <c r="DG4" s="1308"/>
      <c r="DH4" s="1308"/>
      <c r="DI4" s="1308"/>
      <c r="DJ4" s="1308"/>
      <c r="DK4" s="1308"/>
      <c r="DL4" s="1308"/>
      <c r="DM4" s="1308"/>
      <c r="DN4" s="1308"/>
      <c r="DO4" s="1308"/>
      <c r="DP4" s="1308"/>
      <c r="DQ4" s="1308"/>
      <c r="DR4" s="1308"/>
      <c r="DS4" s="1308"/>
      <c r="DT4" s="1308"/>
      <c r="DU4" s="1308"/>
      <c r="DV4" s="1308"/>
      <c r="DW4" s="1308"/>
      <c r="DX4" s="1308"/>
      <c r="DY4" s="1308"/>
      <c r="DZ4" s="1308"/>
      <c r="EA4" s="1308"/>
      <c r="EB4" s="1308"/>
      <c r="EC4" s="1308"/>
      <c r="ED4" s="1308"/>
      <c r="EE4" s="1308"/>
      <c r="EF4" s="1308"/>
      <c r="EG4" s="1308"/>
      <c r="EH4" s="1308"/>
      <c r="EI4" s="1308"/>
      <c r="EJ4" s="1308"/>
      <c r="EK4" s="1308"/>
      <c r="EL4" s="1308"/>
      <c r="EM4" s="1308"/>
      <c r="EN4" s="1308"/>
      <c r="EO4" s="1308"/>
      <c r="EP4" s="1308"/>
      <c r="EQ4" s="1308"/>
      <c r="ER4" s="1308"/>
      <c r="ES4" s="1308"/>
      <c r="ET4" s="1308"/>
      <c r="EU4" s="1308"/>
      <c r="EV4" s="1308"/>
      <c r="EW4" s="1308"/>
      <c r="EX4" s="1308"/>
      <c r="EY4" s="1308"/>
      <c r="EZ4" s="1308"/>
      <c r="FA4" s="1308"/>
      <c r="FB4" s="1308"/>
      <c r="FC4" s="1308"/>
      <c r="FD4" s="1308"/>
      <c r="FE4" s="1308"/>
      <c r="FF4" s="1308"/>
      <c r="FG4" s="1308"/>
      <c r="FH4" s="1308"/>
      <c r="FI4" s="1308"/>
      <c r="FJ4" s="1308"/>
      <c r="FK4" s="1308"/>
      <c r="FL4" s="1308"/>
      <c r="FM4" s="1308"/>
      <c r="FN4" s="1308"/>
      <c r="FO4" s="1308"/>
      <c r="FP4" s="1308"/>
      <c r="FQ4" s="1308"/>
      <c r="FR4" s="1308"/>
      <c r="FS4" s="1308"/>
      <c r="FT4" s="1308"/>
      <c r="FU4" s="1308"/>
      <c r="FV4" s="1308"/>
      <c r="FW4" s="1308"/>
      <c r="FX4" s="1308"/>
      <c r="FY4" s="1308"/>
      <c r="FZ4" s="1308"/>
      <c r="GA4" s="1308"/>
      <c r="GB4" s="1308"/>
      <c r="GC4" s="1308"/>
      <c r="GD4" s="1308"/>
      <c r="GE4" s="1308"/>
      <c r="GF4" s="1308"/>
      <c r="GG4" s="1308"/>
      <c r="GH4" s="1308"/>
      <c r="GI4" s="1308"/>
      <c r="GJ4" s="1308"/>
      <c r="GK4" s="1308"/>
      <c r="GL4" s="1308"/>
      <c r="GM4" s="1308"/>
      <c r="GN4" s="1308"/>
      <c r="GO4" s="1308"/>
      <c r="GP4" s="1308"/>
      <c r="GQ4" s="1308"/>
      <c r="GR4" s="1308"/>
      <c r="GS4" s="1308"/>
      <c r="GT4" s="1308"/>
      <c r="GU4" s="1308"/>
      <c r="GV4" s="1308"/>
      <c r="GW4" s="1308"/>
      <c r="GX4" s="1308"/>
      <c r="GY4" s="1308"/>
      <c r="GZ4" s="1308"/>
      <c r="HA4" s="1308"/>
      <c r="HB4" s="1308"/>
      <c r="HC4" s="1308"/>
      <c r="HD4" s="1308"/>
      <c r="HE4" s="1308"/>
      <c r="HF4" s="1308"/>
      <c r="HG4" s="1308"/>
      <c r="HH4" s="1308"/>
      <c r="HI4" s="1308"/>
      <c r="HJ4" s="1308"/>
      <c r="HK4" s="1308"/>
      <c r="HL4" s="1308"/>
      <c r="HM4" s="1308"/>
      <c r="HN4" s="1308"/>
      <c r="HO4" s="1308"/>
      <c r="HP4" s="1308"/>
      <c r="HQ4" s="1308"/>
      <c r="HR4" s="1308"/>
      <c r="HS4" s="1308"/>
      <c r="HT4" s="1308"/>
      <c r="HU4" s="1308"/>
      <c r="HV4" s="1308"/>
      <c r="HW4" s="1308"/>
      <c r="HX4" s="1308"/>
      <c r="HY4" s="1308"/>
      <c r="HZ4" s="1308"/>
      <c r="IA4" s="1308"/>
      <c r="IB4" s="1308"/>
      <c r="IC4" s="1308"/>
      <c r="ID4" s="1308"/>
      <c r="IE4" s="1308"/>
      <c r="IF4" s="1308"/>
      <c r="IG4" s="1308"/>
      <c r="IH4" s="1308"/>
      <c r="II4" s="1308"/>
      <c r="IJ4" s="1308"/>
      <c r="IK4" s="1308"/>
      <c r="IL4" s="1308"/>
      <c r="IM4" s="1308"/>
      <c r="IN4" s="1308"/>
      <c r="IO4" s="1308"/>
      <c r="IP4" s="1308"/>
      <c r="IQ4" s="1308"/>
      <c r="IR4" s="1308"/>
      <c r="IS4" s="1308"/>
      <c r="IT4" s="1308"/>
      <c r="IU4" s="1308"/>
      <c r="IV4" s="1308"/>
      <c r="IW4" s="1308"/>
      <c r="IX4" s="1308"/>
    </row>
    <row r="5" spans="1:258" ht="34.200000000000003" customHeight="1" thickBot="1" x14ac:dyDescent="0.25">
      <c r="A5" s="1469"/>
      <c r="B5" s="1472"/>
      <c r="C5" s="1478" t="s">
        <v>1087</v>
      </c>
      <c r="D5" s="1479"/>
      <c r="E5" s="1461" t="s">
        <v>1088</v>
      </c>
      <c r="F5" s="1462"/>
      <c r="G5" s="1461" t="s">
        <v>1089</v>
      </c>
      <c r="H5" s="1462"/>
      <c r="I5" s="1461" t="s">
        <v>1090</v>
      </c>
      <c r="J5" s="1462"/>
      <c r="K5" s="1461" t="s">
        <v>1091</v>
      </c>
      <c r="L5" s="1462"/>
      <c r="M5" s="1461" t="s">
        <v>1092</v>
      </c>
      <c r="N5" s="1462"/>
      <c r="O5" s="1362"/>
      <c r="P5" s="1362"/>
      <c r="Q5" s="1362"/>
      <c r="R5" s="1362"/>
      <c r="S5" s="1461" t="s">
        <v>1093</v>
      </c>
      <c r="T5" s="1464"/>
      <c r="U5" s="1311"/>
      <c r="V5" s="1311"/>
      <c r="W5" s="1311"/>
      <c r="X5" s="1311"/>
      <c r="Y5" s="1311"/>
      <c r="Z5" s="1311"/>
      <c r="AA5" s="1467" t="s">
        <v>1094</v>
      </c>
      <c r="AB5" s="1462"/>
      <c r="AC5" s="1461" t="s">
        <v>1088</v>
      </c>
      <c r="AD5" s="1462"/>
      <c r="AE5" s="1461" t="s">
        <v>1089</v>
      </c>
      <c r="AF5" s="1462"/>
      <c r="AG5" s="1461" t="s">
        <v>1090</v>
      </c>
      <c r="AH5" s="1462"/>
      <c r="AI5" s="1461" t="s">
        <v>1091</v>
      </c>
      <c r="AJ5" s="1462"/>
      <c r="AK5" s="1461" t="s">
        <v>1092</v>
      </c>
      <c r="AL5" s="1462"/>
      <c r="AM5" s="1461" t="s">
        <v>1125</v>
      </c>
      <c r="AN5" s="1462"/>
      <c r="AO5" s="1461" t="s">
        <v>1126</v>
      </c>
      <c r="AP5" s="1462"/>
      <c r="AQ5" s="1461" t="str">
        <f>"TOTALE 
dipendenti al 31/12/"&amp;'t1'!L1&amp;" "</f>
        <v xml:space="preserve">TOTALE 
dipendenti al 31/12/2023 </v>
      </c>
      <c r="AR5" s="1464"/>
      <c r="AT5" s="1465" t="s">
        <v>1095</v>
      </c>
      <c r="AU5" s="1466"/>
      <c r="AV5" s="1311"/>
      <c r="AY5" s="1311"/>
      <c r="AZ5" s="1311"/>
      <c r="BA5" s="1311"/>
      <c r="BB5" s="1311"/>
      <c r="BC5" s="1311"/>
      <c r="BD5" s="1311"/>
      <c r="BE5" s="1311"/>
      <c r="BF5" s="1311"/>
      <c r="BG5" s="1311"/>
      <c r="BH5" s="1311"/>
      <c r="BI5" s="1311"/>
      <c r="BJ5" s="1311"/>
      <c r="BK5" s="1311"/>
      <c r="BL5" s="1311"/>
      <c r="BM5" s="1311"/>
      <c r="BN5" s="1311"/>
      <c r="BO5" s="1311"/>
      <c r="BP5" s="1311"/>
      <c r="BQ5" s="1311"/>
      <c r="BR5" s="1311"/>
      <c r="BS5" s="1311"/>
      <c r="BT5" s="1311"/>
      <c r="BU5" s="1311"/>
      <c r="BV5" s="1311"/>
      <c r="BW5" s="1311"/>
      <c r="BX5" s="1311"/>
      <c r="BY5" s="1311"/>
      <c r="BZ5" s="1311"/>
      <c r="CA5" s="1311"/>
      <c r="CB5" s="1311"/>
      <c r="CC5" s="1311"/>
      <c r="CD5" s="1311"/>
      <c r="CE5" s="1311"/>
      <c r="CF5" s="1311"/>
      <c r="CG5" s="1311"/>
      <c r="CH5" s="1311"/>
      <c r="CI5" s="1311"/>
      <c r="CJ5" s="1311"/>
      <c r="CK5" s="1311"/>
      <c r="CL5" s="1311"/>
      <c r="CM5" s="1311"/>
      <c r="CN5" s="1311"/>
      <c r="CO5" s="1311"/>
      <c r="CP5" s="1311"/>
      <c r="CQ5" s="1311"/>
      <c r="CR5" s="1311"/>
      <c r="CS5" s="1311"/>
      <c r="CT5" s="1311"/>
      <c r="CU5" s="1311"/>
      <c r="CV5" s="1311"/>
      <c r="CW5" s="1311"/>
      <c r="CX5" s="1311"/>
      <c r="CY5" s="1311"/>
      <c r="CZ5" s="1311"/>
      <c r="DA5" s="1311"/>
      <c r="DB5" s="1311"/>
      <c r="DC5" s="1311"/>
      <c r="DD5" s="1311"/>
      <c r="DE5" s="1311"/>
      <c r="DF5" s="1311"/>
      <c r="DG5" s="1311"/>
      <c r="DH5" s="1311"/>
      <c r="DI5" s="1311"/>
      <c r="DJ5" s="1311"/>
      <c r="DK5" s="1311"/>
      <c r="DL5" s="1311"/>
      <c r="DM5" s="1311"/>
      <c r="DN5" s="1311"/>
      <c r="DO5" s="1311"/>
      <c r="DP5" s="1311"/>
      <c r="DQ5" s="1311"/>
      <c r="DR5" s="1311"/>
      <c r="DS5" s="1311"/>
      <c r="DT5" s="1311"/>
      <c r="DU5" s="1311"/>
      <c r="DV5" s="1311"/>
      <c r="DW5" s="1311"/>
      <c r="DX5" s="1311"/>
      <c r="DY5" s="1311"/>
      <c r="DZ5" s="1311"/>
      <c r="EA5" s="1311"/>
      <c r="EB5" s="1311"/>
      <c r="EC5" s="1311"/>
      <c r="ED5" s="1311"/>
      <c r="EE5" s="1311"/>
      <c r="EF5" s="1311"/>
      <c r="EG5" s="1311"/>
      <c r="EH5" s="1311"/>
      <c r="EI5" s="1311"/>
      <c r="EJ5" s="1311"/>
      <c r="EK5" s="1311"/>
      <c r="EL5" s="1311"/>
      <c r="EM5" s="1311"/>
      <c r="EN5" s="1311"/>
      <c r="EO5" s="1311"/>
      <c r="EP5" s="1311"/>
      <c r="EQ5" s="1311"/>
      <c r="ER5" s="1311"/>
      <c r="ES5" s="1311"/>
      <c r="ET5" s="1311"/>
      <c r="EU5" s="1311"/>
      <c r="EV5" s="1311"/>
      <c r="EW5" s="1311"/>
      <c r="EX5" s="1311"/>
      <c r="EY5" s="1311"/>
      <c r="EZ5" s="1311"/>
      <c r="FA5" s="1311"/>
      <c r="FB5" s="1311"/>
      <c r="FC5" s="1311"/>
      <c r="FD5" s="1311"/>
      <c r="FE5" s="1311"/>
      <c r="FF5" s="1311"/>
      <c r="FG5" s="1311"/>
      <c r="FH5" s="1311"/>
      <c r="FI5" s="1311"/>
      <c r="FJ5" s="1311"/>
      <c r="FK5" s="1311"/>
      <c r="FL5" s="1311"/>
      <c r="FM5" s="1311"/>
      <c r="FN5" s="1311"/>
      <c r="FO5" s="1311"/>
      <c r="FP5" s="1311"/>
      <c r="FQ5" s="1311"/>
      <c r="FR5" s="1311"/>
      <c r="FS5" s="1311"/>
      <c r="FT5" s="1311"/>
      <c r="FU5" s="1311"/>
      <c r="FV5" s="1311"/>
      <c r="FW5" s="1311"/>
      <c r="FX5" s="1311"/>
      <c r="FY5" s="1311"/>
      <c r="FZ5" s="1311"/>
      <c r="GA5" s="1311"/>
      <c r="GB5" s="1311"/>
      <c r="GC5" s="1311"/>
      <c r="GD5" s="1311"/>
      <c r="GE5" s="1311"/>
      <c r="GF5" s="1311"/>
      <c r="GG5" s="1311"/>
      <c r="GH5" s="1311"/>
      <c r="GI5" s="1311"/>
      <c r="GJ5" s="1311"/>
      <c r="GK5" s="1311"/>
      <c r="GL5" s="1311"/>
      <c r="GM5" s="1311"/>
      <c r="GN5" s="1311"/>
      <c r="GO5" s="1311"/>
      <c r="GP5" s="1311"/>
      <c r="GQ5" s="1311"/>
      <c r="GR5" s="1311"/>
      <c r="GS5" s="1311"/>
      <c r="GT5" s="1311"/>
      <c r="GU5" s="1311"/>
      <c r="GV5" s="1311"/>
      <c r="GW5" s="1311"/>
      <c r="GX5" s="1311"/>
      <c r="GY5" s="1311"/>
      <c r="GZ5" s="1311"/>
      <c r="HA5" s="1311"/>
      <c r="HB5" s="1311"/>
      <c r="HC5" s="1311"/>
      <c r="HD5" s="1311"/>
      <c r="HE5" s="1311"/>
      <c r="HF5" s="1311"/>
      <c r="HG5" s="1311"/>
      <c r="HH5" s="1311"/>
      <c r="HI5" s="1311"/>
      <c r="HJ5" s="1311"/>
      <c r="HK5" s="1311"/>
      <c r="HL5" s="1311"/>
      <c r="HM5" s="1311"/>
      <c r="HN5" s="1311"/>
      <c r="HO5" s="1311"/>
      <c r="HP5" s="1311"/>
      <c r="HQ5" s="1311"/>
      <c r="HR5" s="1311"/>
      <c r="HS5" s="1311"/>
      <c r="HT5" s="1311"/>
      <c r="HU5" s="1311"/>
      <c r="HV5" s="1311"/>
      <c r="HW5" s="1311"/>
      <c r="HX5" s="1311"/>
      <c r="HY5" s="1311"/>
      <c r="HZ5" s="1311"/>
      <c r="IA5" s="1311"/>
      <c r="IB5" s="1311"/>
      <c r="IC5" s="1311"/>
      <c r="ID5" s="1311"/>
      <c r="IE5" s="1311"/>
      <c r="IF5" s="1311"/>
      <c r="IG5" s="1311"/>
      <c r="IH5" s="1311"/>
      <c r="II5" s="1311"/>
      <c r="IJ5" s="1311"/>
      <c r="IK5" s="1311"/>
      <c r="IL5" s="1311"/>
      <c r="IM5" s="1311"/>
      <c r="IN5" s="1311"/>
      <c r="IO5" s="1311"/>
      <c r="IP5" s="1311"/>
      <c r="IQ5" s="1311"/>
      <c r="IR5" s="1311"/>
      <c r="IS5" s="1311"/>
      <c r="IT5" s="1311"/>
      <c r="IU5" s="1311"/>
      <c r="IV5" s="1311"/>
      <c r="IW5" s="1311"/>
      <c r="IX5" s="1311"/>
    </row>
    <row r="6" spans="1:258" ht="10.8" thickBot="1" x14ac:dyDescent="0.25">
      <c r="A6" s="1470"/>
      <c r="B6" s="1473"/>
      <c r="C6" s="1312" t="s">
        <v>58</v>
      </c>
      <c r="D6" s="1313" t="s">
        <v>59</v>
      </c>
      <c r="E6" s="1312" t="s">
        <v>58</v>
      </c>
      <c r="F6" s="1313" t="s">
        <v>59</v>
      </c>
      <c r="G6" s="1312" t="s">
        <v>58</v>
      </c>
      <c r="H6" s="1313" t="s">
        <v>59</v>
      </c>
      <c r="I6" s="1312" t="s">
        <v>58</v>
      </c>
      <c r="J6" s="1313" t="s">
        <v>59</v>
      </c>
      <c r="K6" s="1312" t="s">
        <v>58</v>
      </c>
      <c r="L6" s="1313" t="s">
        <v>59</v>
      </c>
      <c r="M6" s="1312" t="s">
        <v>58</v>
      </c>
      <c r="N6" s="1313" t="s">
        <v>59</v>
      </c>
      <c r="O6" s="1313"/>
      <c r="P6" s="1313"/>
      <c r="Q6" s="1313"/>
      <c r="R6" s="1313"/>
      <c r="S6" s="1312" t="s">
        <v>58</v>
      </c>
      <c r="T6" s="1313" t="s">
        <v>59</v>
      </c>
      <c r="U6" s="1314"/>
      <c r="V6" s="1315"/>
      <c r="W6" s="1315"/>
      <c r="X6" s="1315"/>
      <c r="Y6" s="1315"/>
      <c r="Z6" s="1315"/>
      <c r="AA6" s="1316" t="s">
        <v>58</v>
      </c>
      <c r="AB6" s="1313" t="s">
        <v>59</v>
      </c>
      <c r="AC6" s="1312" t="s">
        <v>58</v>
      </c>
      <c r="AD6" s="1313" t="s">
        <v>59</v>
      </c>
      <c r="AE6" s="1312" t="s">
        <v>58</v>
      </c>
      <c r="AF6" s="1313" t="s">
        <v>59</v>
      </c>
      <c r="AG6" s="1312" t="s">
        <v>58</v>
      </c>
      <c r="AH6" s="1313" t="s">
        <v>59</v>
      </c>
      <c r="AI6" s="1312" t="s">
        <v>58</v>
      </c>
      <c r="AJ6" s="1313" t="s">
        <v>59</v>
      </c>
      <c r="AK6" s="1312" t="s">
        <v>58</v>
      </c>
      <c r="AL6" s="1313" t="s">
        <v>59</v>
      </c>
      <c r="AM6" s="1312" t="s">
        <v>58</v>
      </c>
      <c r="AN6" s="1313" t="s">
        <v>59</v>
      </c>
      <c r="AO6" s="1313"/>
      <c r="AP6" s="1313"/>
      <c r="AQ6" s="1312" t="s">
        <v>58</v>
      </c>
      <c r="AR6" s="1317" t="s">
        <v>59</v>
      </c>
      <c r="AT6" s="1316" t="s">
        <v>58</v>
      </c>
      <c r="AU6" s="1317" t="s">
        <v>59</v>
      </c>
      <c r="AV6" s="1315"/>
      <c r="AY6" s="1315"/>
      <c r="AZ6" s="1315"/>
      <c r="BA6" s="1315"/>
      <c r="BB6" s="1315"/>
      <c r="BC6" s="1315"/>
      <c r="BD6" s="1315"/>
      <c r="BE6" s="1315"/>
      <c r="BF6" s="1315"/>
      <c r="BG6" s="1315"/>
      <c r="BH6" s="1315"/>
      <c r="BI6" s="1315"/>
      <c r="BJ6" s="1315"/>
      <c r="BK6" s="1315"/>
      <c r="BL6" s="1315"/>
      <c r="BM6" s="1315"/>
      <c r="BN6" s="1315"/>
      <c r="BO6" s="1315"/>
      <c r="BP6" s="1315"/>
      <c r="BQ6" s="1315"/>
      <c r="BR6" s="1315"/>
      <c r="BS6" s="1315"/>
      <c r="BT6" s="1315"/>
      <c r="BU6" s="1315"/>
      <c r="BV6" s="1315"/>
      <c r="BW6" s="1315"/>
      <c r="BX6" s="1315"/>
      <c r="BY6" s="1315"/>
      <c r="BZ6" s="1315"/>
      <c r="CA6" s="1315"/>
      <c r="CB6" s="1315"/>
      <c r="CC6" s="1315"/>
      <c r="CD6" s="1315"/>
      <c r="CE6" s="1315"/>
      <c r="CF6" s="1315"/>
      <c r="CG6" s="1315"/>
      <c r="CH6" s="1315"/>
      <c r="CI6" s="1315"/>
      <c r="CJ6" s="1315"/>
      <c r="CK6" s="1315"/>
      <c r="CL6" s="1315"/>
      <c r="CM6" s="1315"/>
      <c r="CN6" s="1315"/>
      <c r="CO6" s="1315"/>
      <c r="CP6" s="1315"/>
      <c r="CQ6" s="1315"/>
      <c r="CR6" s="1315"/>
      <c r="CS6" s="1315"/>
      <c r="CT6" s="1315"/>
      <c r="CU6" s="1315"/>
      <c r="CV6" s="1315"/>
      <c r="CW6" s="1315"/>
      <c r="CX6" s="1315"/>
      <c r="CY6" s="1315"/>
      <c r="CZ6" s="1315"/>
      <c r="DA6" s="1315"/>
      <c r="DB6" s="1315"/>
      <c r="DC6" s="1315"/>
      <c r="DD6" s="1315"/>
      <c r="DE6" s="1315"/>
      <c r="DF6" s="1315"/>
      <c r="DG6" s="1315"/>
      <c r="DH6" s="1315"/>
      <c r="DI6" s="1315"/>
      <c r="DJ6" s="1315"/>
      <c r="DK6" s="1315"/>
      <c r="DL6" s="1315"/>
      <c r="DM6" s="1315"/>
      <c r="DN6" s="1315"/>
      <c r="DO6" s="1315"/>
      <c r="DP6" s="1315"/>
      <c r="DQ6" s="1315"/>
      <c r="DR6" s="1315"/>
      <c r="DS6" s="1315"/>
      <c r="DT6" s="1315"/>
      <c r="DU6" s="1315"/>
      <c r="DV6" s="1315"/>
      <c r="DW6" s="1315"/>
      <c r="DX6" s="1315"/>
      <c r="DY6" s="1315"/>
      <c r="DZ6" s="1315"/>
      <c r="EA6" s="1315"/>
      <c r="EB6" s="1315"/>
      <c r="EC6" s="1315"/>
      <c r="ED6" s="1315"/>
      <c r="EE6" s="1315"/>
      <c r="EF6" s="1315"/>
      <c r="EG6" s="1315"/>
      <c r="EH6" s="1315"/>
      <c r="EI6" s="1315"/>
      <c r="EJ6" s="1315"/>
      <c r="EK6" s="1315"/>
      <c r="EL6" s="1315"/>
      <c r="EM6" s="1315"/>
      <c r="EN6" s="1315"/>
      <c r="EO6" s="1315"/>
      <c r="EP6" s="1315"/>
      <c r="EQ6" s="1315"/>
      <c r="ER6" s="1315"/>
      <c r="ES6" s="1315"/>
      <c r="ET6" s="1315"/>
      <c r="EU6" s="1315"/>
      <c r="EV6" s="1315"/>
      <c r="EW6" s="1315"/>
      <c r="EX6" s="1315"/>
      <c r="EY6" s="1315"/>
      <c r="EZ6" s="1315"/>
      <c r="FA6" s="1315"/>
      <c r="FB6" s="1315"/>
      <c r="FC6" s="1315"/>
      <c r="FD6" s="1315"/>
      <c r="FE6" s="1315"/>
      <c r="FF6" s="1315"/>
      <c r="FG6" s="1315"/>
      <c r="FH6" s="1315"/>
      <c r="FI6" s="1315"/>
      <c r="FJ6" s="1315"/>
      <c r="FK6" s="1315"/>
      <c r="FL6" s="1315"/>
      <c r="FM6" s="1315"/>
      <c r="FN6" s="1315"/>
      <c r="FO6" s="1315"/>
      <c r="FP6" s="1315"/>
      <c r="FQ6" s="1315"/>
      <c r="FR6" s="1315"/>
      <c r="FS6" s="1315"/>
      <c r="FT6" s="1315"/>
      <c r="FU6" s="1315"/>
      <c r="FV6" s="1315"/>
      <c r="FW6" s="1315"/>
      <c r="FX6" s="1315"/>
      <c r="FY6" s="1315"/>
      <c r="FZ6" s="1315"/>
      <c r="GA6" s="1315"/>
      <c r="GB6" s="1315"/>
      <c r="GC6" s="1315"/>
      <c r="GD6" s="1315"/>
      <c r="GE6" s="1315"/>
      <c r="GF6" s="1315"/>
      <c r="GG6" s="1315"/>
      <c r="GH6" s="1315"/>
      <c r="GI6" s="1315"/>
      <c r="GJ6" s="1315"/>
      <c r="GK6" s="1315"/>
      <c r="GL6" s="1315"/>
      <c r="GM6" s="1315"/>
      <c r="GN6" s="1315"/>
      <c r="GO6" s="1315"/>
      <c r="GP6" s="1315"/>
      <c r="GQ6" s="1315"/>
      <c r="GR6" s="1315"/>
      <c r="GS6" s="1315"/>
      <c r="GT6" s="1315"/>
      <c r="GU6" s="1315"/>
      <c r="GV6" s="1315"/>
      <c r="GW6" s="1315"/>
      <c r="GX6" s="1315"/>
      <c r="GY6" s="1315"/>
      <c r="GZ6" s="1315"/>
      <c r="HA6" s="1315"/>
      <c r="HB6" s="1315"/>
      <c r="HC6" s="1315"/>
      <c r="HD6" s="1315"/>
      <c r="HE6" s="1315"/>
      <c r="HF6" s="1315"/>
      <c r="HG6" s="1315"/>
      <c r="HH6" s="1315"/>
      <c r="HI6" s="1315"/>
      <c r="HJ6" s="1315"/>
      <c r="HK6" s="1315"/>
      <c r="HL6" s="1315"/>
      <c r="HM6" s="1315"/>
      <c r="HN6" s="1315"/>
      <c r="HO6" s="1315"/>
      <c r="HP6" s="1315"/>
      <c r="HQ6" s="1315"/>
      <c r="HR6" s="1315"/>
      <c r="HS6" s="1315"/>
      <c r="HT6" s="1315"/>
      <c r="HU6" s="1315"/>
      <c r="HV6" s="1315"/>
      <c r="HW6" s="1315"/>
      <c r="HX6" s="1315"/>
      <c r="HY6" s="1315"/>
      <c r="HZ6" s="1315"/>
      <c r="IA6" s="1315"/>
      <c r="IB6" s="1315"/>
      <c r="IC6" s="1315"/>
      <c r="ID6" s="1315"/>
      <c r="IE6" s="1315"/>
      <c r="IF6" s="1315"/>
      <c r="IG6" s="1315"/>
      <c r="IH6" s="1315"/>
      <c r="II6" s="1315"/>
      <c r="IJ6" s="1315"/>
      <c r="IK6" s="1315"/>
      <c r="IL6" s="1315"/>
      <c r="IM6" s="1315"/>
      <c r="IN6" s="1315"/>
      <c r="IO6" s="1315"/>
      <c r="IP6" s="1315"/>
      <c r="IQ6" s="1315"/>
      <c r="IR6" s="1315"/>
      <c r="IS6" s="1315"/>
      <c r="IT6" s="1315"/>
      <c r="IU6" s="1315"/>
      <c r="IV6" s="1315"/>
      <c r="IW6" s="1315"/>
      <c r="IX6" s="1315"/>
    </row>
    <row r="7" spans="1:258" ht="10.8" thickTop="1" x14ac:dyDescent="0.2">
      <c r="A7" s="16" t="str">
        <f>'t1'!A22</f>
        <v>FUNZIONARI</v>
      </c>
      <c r="B7" s="16" t="str">
        <f>'t1'!B22</f>
        <v>0FZ000</v>
      </c>
      <c r="C7" s="298">
        <f t="shared" ref="C7:L7" si="0">ROUND(AA7,0)</f>
        <v>0</v>
      </c>
      <c r="D7" s="299">
        <f t="shared" si="0"/>
        <v>0</v>
      </c>
      <c r="E7" s="298">
        <f t="shared" si="0"/>
        <v>0</v>
      </c>
      <c r="F7" s="299">
        <f t="shared" si="0"/>
        <v>0</v>
      </c>
      <c r="G7" s="298">
        <f t="shared" si="0"/>
        <v>0</v>
      </c>
      <c r="H7" s="299">
        <f t="shared" si="0"/>
        <v>0</v>
      </c>
      <c r="I7" s="298">
        <f t="shared" si="0"/>
        <v>0</v>
      </c>
      <c r="J7" s="299">
        <f t="shared" si="0"/>
        <v>0</v>
      </c>
      <c r="K7" s="298">
        <f t="shared" si="0"/>
        <v>0</v>
      </c>
      <c r="L7" s="299">
        <f t="shared" si="0"/>
        <v>0</v>
      </c>
      <c r="M7" s="298">
        <f t="shared" ref="M7" si="1">ROUND(AK7,0)</f>
        <v>0</v>
      </c>
      <c r="N7" s="299">
        <f t="shared" ref="N7" si="2">ROUND(AL7,0)</f>
        <v>0</v>
      </c>
      <c r="O7" s="298"/>
      <c r="P7" s="299"/>
      <c r="Q7" s="298"/>
      <c r="R7" s="299"/>
      <c r="S7" s="1318">
        <f>C7+E7+G7+I7+K7+M7+O7+Q7</f>
        <v>0</v>
      </c>
      <c r="T7" s="1319">
        <f>D7+F7+H7+J7+L7+N7+P7+R7</f>
        <v>0</v>
      </c>
      <c r="AA7" s="1320"/>
      <c r="AB7" s="299"/>
      <c r="AC7" s="298"/>
      <c r="AD7" s="299"/>
      <c r="AE7" s="298"/>
      <c r="AF7" s="299"/>
      <c r="AG7" s="298"/>
      <c r="AH7" s="299"/>
      <c r="AI7" s="298"/>
      <c r="AJ7" s="299"/>
      <c r="AK7" s="298"/>
      <c r="AL7" s="299"/>
      <c r="AM7" s="298"/>
      <c r="AN7" s="1363"/>
      <c r="AO7" s="1322"/>
      <c r="AP7" s="1322"/>
      <c r="AQ7" s="1318">
        <f>AA7+AC7+AE7+AG7+AI7+AK7+AM7+AO7</f>
        <v>0</v>
      </c>
      <c r="AR7" s="1319">
        <f>AB7+AD7+AF7+AH7+AJ7+AL7+AN7+AP7</f>
        <v>0</v>
      </c>
      <c r="AS7" s="1321"/>
      <c r="AT7" s="1370" t="str">
        <f>IF(AQ7='t1'!AI22,"OK","Errore")</f>
        <v>OK</v>
      </c>
      <c r="AU7" s="1319" t="str">
        <f>IF(AR7='t1'!AJ22,"OK","Errore")</f>
        <v>OK</v>
      </c>
      <c r="BS7" s="1315"/>
      <c r="BT7" s="1315"/>
      <c r="BU7" s="1315"/>
      <c r="BV7" s="1315"/>
      <c r="BW7" s="1315"/>
      <c r="BX7" s="1315"/>
      <c r="BY7" s="1315"/>
      <c r="BZ7" s="1315"/>
      <c r="CA7" s="1315"/>
      <c r="CB7" s="1315"/>
      <c r="CC7" s="1315"/>
      <c r="CD7" s="1315"/>
      <c r="CE7" s="1315"/>
      <c r="CF7" s="1315"/>
      <c r="CG7" s="1315"/>
      <c r="CH7" s="1315"/>
      <c r="CI7" s="1315"/>
      <c r="CJ7" s="1315"/>
      <c r="CK7" s="1315"/>
      <c r="CL7" s="1315"/>
      <c r="CM7" s="1315"/>
      <c r="CN7" s="1315"/>
      <c r="CO7" s="1315"/>
      <c r="CP7" s="1315"/>
      <c r="CQ7" s="1315"/>
      <c r="CR7" s="1315"/>
      <c r="CS7" s="1315"/>
      <c r="CT7" s="1315"/>
      <c r="CU7" s="1315"/>
      <c r="CV7" s="1315"/>
      <c r="CW7" s="1315"/>
      <c r="CX7" s="1315"/>
      <c r="CY7" s="1315"/>
      <c r="CZ7" s="1315"/>
      <c r="DA7" s="1315"/>
      <c r="DB7" s="1315"/>
      <c r="DC7" s="1315"/>
      <c r="DD7" s="1315"/>
      <c r="DE7" s="1315"/>
      <c r="DF7" s="1315"/>
      <c r="DG7" s="1315"/>
      <c r="DH7" s="1315"/>
      <c r="DI7" s="1315"/>
      <c r="DJ7" s="1315"/>
      <c r="DK7" s="1315"/>
      <c r="DL7" s="1315"/>
      <c r="DM7" s="1315"/>
      <c r="DN7" s="1315"/>
      <c r="DO7" s="1315"/>
      <c r="DP7" s="1315"/>
      <c r="DQ7" s="1315"/>
      <c r="DR7" s="1315"/>
      <c r="DS7" s="1315"/>
      <c r="DT7" s="1315"/>
      <c r="DU7" s="1315"/>
      <c r="DV7" s="1315"/>
      <c r="DW7" s="1315"/>
      <c r="DX7" s="1315"/>
      <c r="DY7" s="1315"/>
      <c r="DZ7" s="1315"/>
      <c r="EA7" s="1315"/>
      <c r="EB7" s="1315"/>
      <c r="EC7" s="1315"/>
      <c r="ED7" s="1315"/>
      <c r="EE7" s="1315"/>
      <c r="EF7" s="1315"/>
      <c r="EG7" s="1315"/>
      <c r="EH7" s="1315"/>
      <c r="EI7" s="1315"/>
      <c r="EJ7" s="1315"/>
      <c r="EK7" s="1315"/>
      <c r="EL7" s="1315"/>
      <c r="EM7" s="1315"/>
      <c r="EN7" s="1315"/>
      <c r="EO7" s="1315"/>
      <c r="EP7" s="1315"/>
      <c r="EQ7" s="1315"/>
      <c r="ER7" s="1315"/>
      <c r="ES7" s="1315"/>
      <c r="ET7" s="1315"/>
      <c r="EU7" s="1315"/>
      <c r="EV7" s="1315"/>
      <c r="EW7" s="1315"/>
      <c r="EX7" s="1315"/>
      <c r="EY7" s="1315"/>
      <c r="EZ7" s="1315"/>
      <c r="FA7" s="1315"/>
      <c r="FB7" s="1315"/>
      <c r="FC7" s="1315"/>
      <c r="FD7" s="1315"/>
      <c r="FE7" s="1315"/>
      <c r="FF7" s="1315"/>
      <c r="FG7" s="1315"/>
      <c r="FH7" s="1315"/>
      <c r="FI7" s="1315"/>
      <c r="FJ7" s="1315"/>
      <c r="FK7" s="1315"/>
      <c r="FL7" s="1315"/>
      <c r="FM7" s="1315"/>
      <c r="FN7" s="1315"/>
      <c r="FO7" s="1315"/>
      <c r="FP7" s="1315"/>
      <c r="FQ7" s="1315"/>
      <c r="FR7" s="1315"/>
      <c r="FS7" s="1315"/>
      <c r="FT7" s="1315"/>
      <c r="FU7" s="1315"/>
      <c r="FV7" s="1315"/>
      <c r="FW7" s="1315"/>
      <c r="FX7" s="1315"/>
      <c r="FY7" s="1315"/>
      <c r="FZ7" s="1315"/>
      <c r="GA7" s="1315"/>
      <c r="GB7" s="1315"/>
      <c r="GC7" s="1315"/>
      <c r="GD7" s="1315"/>
      <c r="GE7" s="1315"/>
      <c r="GF7" s="1315"/>
      <c r="GG7" s="1315"/>
      <c r="GH7" s="1315"/>
      <c r="GI7" s="1315"/>
      <c r="GJ7" s="1315"/>
      <c r="GK7" s="1315"/>
      <c r="GL7" s="1315"/>
      <c r="GM7" s="1315"/>
      <c r="GN7" s="1315"/>
      <c r="GO7" s="1315"/>
      <c r="GP7" s="1315"/>
      <c r="GQ7" s="1315"/>
      <c r="GR7" s="1315"/>
      <c r="GS7" s="1315"/>
      <c r="GT7" s="1315"/>
      <c r="GU7" s="1315"/>
      <c r="GV7" s="1315"/>
      <c r="GW7" s="1315"/>
      <c r="GX7" s="1315"/>
      <c r="GY7" s="1315"/>
      <c r="GZ7" s="1315"/>
      <c r="HA7" s="1315"/>
      <c r="HB7" s="1315"/>
      <c r="HC7" s="1315"/>
      <c r="HD7" s="1315"/>
      <c r="HE7" s="1315"/>
      <c r="HF7" s="1315"/>
      <c r="HG7" s="1315"/>
      <c r="HH7" s="1315"/>
      <c r="HI7" s="1315"/>
      <c r="HJ7" s="1315"/>
      <c r="HK7" s="1315"/>
      <c r="HL7" s="1315"/>
      <c r="HM7" s="1315"/>
      <c r="HN7" s="1315"/>
      <c r="HO7" s="1315"/>
      <c r="HP7" s="1315"/>
      <c r="HQ7" s="1315"/>
      <c r="HR7" s="1315"/>
      <c r="HS7" s="1315"/>
      <c r="HT7" s="1315"/>
      <c r="HU7" s="1315"/>
      <c r="HV7" s="1315"/>
      <c r="HW7" s="1315"/>
      <c r="HX7" s="1315"/>
      <c r="HY7" s="1315"/>
      <c r="HZ7" s="1315"/>
      <c r="IA7" s="1315"/>
      <c r="IB7" s="1315"/>
      <c r="IC7" s="1315"/>
      <c r="ID7" s="1315"/>
      <c r="IE7" s="1315"/>
      <c r="IF7" s="1315"/>
      <c r="IG7" s="1315"/>
      <c r="IH7" s="1315"/>
      <c r="II7" s="1315"/>
      <c r="IJ7" s="1315"/>
      <c r="IK7" s="1315"/>
      <c r="IL7" s="1315"/>
      <c r="IM7" s="1315"/>
      <c r="IN7" s="1315"/>
      <c r="IO7" s="1315"/>
      <c r="IP7" s="1315"/>
      <c r="IQ7" s="1315"/>
      <c r="IR7" s="1315"/>
      <c r="IS7" s="1315"/>
      <c r="IT7" s="1315"/>
      <c r="IU7" s="1315"/>
      <c r="IV7" s="1315"/>
      <c r="IW7" s="1315"/>
      <c r="IX7" s="1315"/>
    </row>
    <row r="8" spans="1:258" x14ac:dyDescent="0.2">
      <c r="A8" s="16" t="str">
        <f>'t1'!A23</f>
        <v>ASSISTENTI</v>
      </c>
      <c r="B8" s="16" t="str">
        <f>'t1'!B23</f>
        <v>0AS000</v>
      </c>
      <c r="C8" s="298">
        <f t="shared" ref="C8:L9" si="3">ROUND(AA8,0)</f>
        <v>0</v>
      </c>
      <c r="D8" s="299">
        <f t="shared" si="3"/>
        <v>0</v>
      </c>
      <c r="E8" s="298">
        <f t="shared" si="3"/>
        <v>0</v>
      </c>
      <c r="F8" s="299">
        <f t="shared" si="3"/>
        <v>0</v>
      </c>
      <c r="G8" s="298">
        <f t="shared" si="3"/>
        <v>0</v>
      </c>
      <c r="H8" s="299">
        <f t="shared" si="3"/>
        <v>0</v>
      </c>
      <c r="I8" s="298">
        <f t="shared" si="3"/>
        <v>0</v>
      </c>
      <c r="J8" s="299">
        <f t="shared" si="3"/>
        <v>0</v>
      </c>
      <c r="K8" s="298">
        <f t="shared" si="3"/>
        <v>0</v>
      </c>
      <c r="L8" s="299">
        <f t="shared" si="3"/>
        <v>0</v>
      </c>
      <c r="M8" s="298">
        <f t="shared" ref="M8" si="4">ROUND(AK8,0)</f>
        <v>0</v>
      </c>
      <c r="N8" s="299">
        <f t="shared" ref="N8" si="5">ROUND(AL8,0)</f>
        <v>0</v>
      </c>
      <c r="O8" s="298"/>
      <c r="P8" s="299"/>
      <c r="Q8" s="298"/>
      <c r="R8" s="299"/>
      <c r="S8" s="1318">
        <f t="shared" ref="S8:S9" si="6">C8+E8+G8+I8+K8+M8+O8+Q8</f>
        <v>0</v>
      </c>
      <c r="T8" s="1319">
        <f t="shared" ref="T8:T9" si="7">D8+F8+H8+J8+L8+N8+P8+R8</f>
        <v>0</v>
      </c>
      <c r="AA8" s="1320"/>
      <c r="AB8" s="299"/>
      <c r="AC8" s="298"/>
      <c r="AD8" s="299"/>
      <c r="AE8" s="298"/>
      <c r="AF8" s="299"/>
      <c r="AG8" s="298"/>
      <c r="AH8" s="299"/>
      <c r="AI8" s="298"/>
      <c r="AJ8" s="299"/>
      <c r="AK8" s="298"/>
      <c r="AL8" s="299"/>
      <c r="AM8" s="1322"/>
      <c r="AN8" s="1364"/>
      <c r="AO8" s="1322"/>
      <c r="AP8" s="1322"/>
      <c r="AQ8" s="1318">
        <f t="shared" ref="AQ8:AQ9" si="8">AA8+AC8+AE8+AG8+AI8+AK8+AM8+AO8</f>
        <v>0</v>
      </c>
      <c r="AR8" s="1319">
        <f t="shared" ref="AR8:AR9" si="9">AB8+AD8+AF8+AH8+AJ8+AL8+AN8+AP8</f>
        <v>0</v>
      </c>
      <c r="AS8" s="1321"/>
      <c r="AT8" s="1323" t="str">
        <f>IF(AQ8='t1'!AI23,"OK","Errore")</f>
        <v>OK</v>
      </c>
      <c r="AU8" s="1319" t="str">
        <f>IF(AR8='t1'!AJ23,"OK","Errore")</f>
        <v>OK</v>
      </c>
    </row>
    <row r="9" spans="1:258" ht="10.8" thickBot="1" x14ac:dyDescent="0.25">
      <c r="A9" s="16" t="str">
        <f>'t1'!A24</f>
        <v>OPERATORI</v>
      </c>
      <c r="B9" s="16" t="str">
        <f>'t1'!B24</f>
        <v>0OP000</v>
      </c>
      <c r="C9" s="298">
        <f t="shared" si="3"/>
        <v>0</v>
      </c>
      <c r="D9" s="299">
        <f t="shared" si="3"/>
        <v>0</v>
      </c>
      <c r="E9" s="298">
        <f t="shared" si="3"/>
        <v>0</v>
      </c>
      <c r="F9" s="299">
        <f t="shared" si="3"/>
        <v>0</v>
      </c>
      <c r="G9" s="298">
        <f t="shared" si="3"/>
        <v>0</v>
      </c>
      <c r="H9" s="299">
        <f t="shared" si="3"/>
        <v>0</v>
      </c>
      <c r="I9" s="298">
        <f t="shared" si="3"/>
        <v>0</v>
      </c>
      <c r="J9" s="299">
        <f t="shared" si="3"/>
        <v>0</v>
      </c>
      <c r="K9" s="298">
        <f t="shared" si="3"/>
        <v>0</v>
      </c>
      <c r="L9" s="299">
        <f t="shared" si="3"/>
        <v>0</v>
      </c>
      <c r="M9" s="298">
        <f t="shared" ref="M9" si="10">ROUND(AK9,0)</f>
        <v>0</v>
      </c>
      <c r="N9" s="299">
        <f t="shared" ref="N9" si="11">ROUND(AL9,0)</f>
        <v>0</v>
      </c>
      <c r="O9" s="298"/>
      <c r="P9" s="299"/>
      <c r="Q9" s="298"/>
      <c r="R9" s="299"/>
      <c r="S9" s="1318">
        <f t="shared" si="6"/>
        <v>0</v>
      </c>
      <c r="T9" s="1319">
        <f t="shared" si="7"/>
        <v>0</v>
      </c>
      <c r="AA9" s="1320"/>
      <c r="AB9" s="299"/>
      <c r="AC9" s="298"/>
      <c r="AD9" s="299"/>
      <c r="AE9" s="298"/>
      <c r="AF9" s="299"/>
      <c r="AG9" s="1401"/>
      <c r="AH9" s="1402"/>
      <c r="AI9" s="1401"/>
      <c r="AJ9" s="1402"/>
      <c r="AK9" s="1401"/>
      <c r="AL9" s="1402"/>
      <c r="AM9" s="1322"/>
      <c r="AN9" s="1365"/>
      <c r="AO9" s="1322"/>
      <c r="AP9" s="1322"/>
      <c r="AQ9" s="1318">
        <f t="shared" si="8"/>
        <v>0</v>
      </c>
      <c r="AR9" s="1319">
        <f t="shared" si="9"/>
        <v>0</v>
      </c>
      <c r="AS9" s="1321"/>
      <c r="AT9" s="1368" t="str">
        <f>IF(AQ9='t1'!AI24,"OK","Errore")</f>
        <v>OK</v>
      </c>
      <c r="AU9" s="1366" t="str">
        <f>IF(AR9='t1'!AJ24,"OK","Errore")</f>
        <v>OK</v>
      </c>
    </row>
    <row r="10" spans="1:258" ht="14.4" thickTop="1" thickBot="1" x14ac:dyDescent="0.3">
      <c r="A10" s="1324" t="s">
        <v>60</v>
      </c>
      <c r="B10" s="1325"/>
      <c r="C10" s="1326">
        <f>SUM(C7:C9)</f>
        <v>0</v>
      </c>
      <c r="D10" s="1327">
        <f>SUM(D7:D9)</f>
        <v>0</v>
      </c>
      <c r="E10" s="1326">
        <f t="shared" ref="E10:R10" si="12">SUM(E7:E9)</f>
        <v>0</v>
      </c>
      <c r="F10" s="1327">
        <f t="shared" si="12"/>
        <v>0</v>
      </c>
      <c r="G10" s="1326">
        <f t="shared" si="12"/>
        <v>0</v>
      </c>
      <c r="H10" s="1327">
        <f t="shared" si="12"/>
        <v>0</v>
      </c>
      <c r="I10" s="1326">
        <f t="shared" si="12"/>
        <v>0</v>
      </c>
      <c r="J10" s="1327">
        <f t="shared" si="12"/>
        <v>0</v>
      </c>
      <c r="K10" s="1326">
        <f t="shared" si="12"/>
        <v>0</v>
      </c>
      <c r="L10" s="1327">
        <f t="shared" si="12"/>
        <v>0</v>
      </c>
      <c r="M10" s="1326">
        <f t="shared" si="12"/>
        <v>0</v>
      </c>
      <c r="N10" s="1327">
        <f t="shared" si="12"/>
        <v>0</v>
      </c>
      <c r="O10" s="1326">
        <f t="shared" si="12"/>
        <v>0</v>
      </c>
      <c r="P10" s="1327">
        <f t="shared" si="12"/>
        <v>0</v>
      </c>
      <c r="Q10" s="1326">
        <f>SUM(Q7:Q9)</f>
        <v>0</v>
      </c>
      <c r="R10" s="1327">
        <f t="shared" si="12"/>
        <v>0</v>
      </c>
      <c r="S10" s="1326">
        <f>SUM(S7:S9)</f>
        <v>0</v>
      </c>
      <c r="T10" s="1327">
        <f>SUM(T7:T9)</f>
        <v>0</v>
      </c>
      <c r="U10" s="1330"/>
      <c r="V10" s="1331"/>
      <c r="W10" s="1331"/>
      <c r="X10" s="1331"/>
      <c r="Y10" s="1331"/>
      <c r="Z10" s="1331"/>
      <c r="AA10" s="1332">
        <f t="shared" ref="AA10:AL10" si="13">SUM(AA8:AA9)</f>
        <v>0</v>
      </c>
      <c r="AB10" s="1327">
        <f t="shared" si="13"/>
        <v>0</v>
      </c>
      <c r="AC10" s="1326">
        <f t="shared" si="13"/>
        <v>0</v>
      </c>
      <c r="AD10" s="1327">
        <f t="shared" si="13"/>
        <v>0</v>
      </c>
      <c r="AE10" s="1326">
        <f t="shared" si="13"/>
        <v>0</v>
      </c>
      <c r="AF10" s="1327">
        <f t="shared" si="13"/>
        <v>0</v>
      </c>
      <c r="AG10" s="1326">
        <f t="shared" si="13"/>
        <v>0</v>
      </c>
      <c r="AH10" s="1327">
        <f t="shared" si="13"/>
        <v>0</v>
      </c>
      <c r="AI10" s="1326">
        <f t="shared" si="13"/>
        <v>0</v>
      </c>
      <c r="AJ10" s="1328">
        <f t="shared" si="13"/>
        <v>0</v>
      </c>
      <c r="AK10" s="1329">
        <f t="shared" si="13"/>
        <v>0</v>
      </c>
      <c r="AL10" s="1327">
        <f t="shared" si="13"/>
        <v>0</v>
      </c>
      <c r="AM10" s="1332">
        <f>SUM(AM7:AM9)</f>
        <v>0</v>
      </c>
      <c r="AN10" s="1328">
        <f>SUM(AN7:AN9)</f>
        <v>0</v>
      </c>
      <c r="AO10" s="1329">
        <f t="shared" ref="AO10:AP10" si="14">SUM(AO9:AO9)</f>
        <v>0</v>
      </c>
      <c r="AP10" s="1327">
        <f t="shared" si="14"/>
        <v>0</v>
      </c>
      <c r="AQ10" s="1326">
        <f>SUM(AQ7:AQ9)</f>
        <v>0</v>
      </c>
      <c r="AR10" s="1333">
        <f>SUM(AR7:AR9)</f>
        <v>0</v>
      </c>
      <c r="AS10" s="1321"/>
      <c r="AT10" s="1369">
        <f>SUM('t1'!AI22:AI24)</f>
        <v>0</v>
      </c>
      <c r="AU10" s="1367">
        <f>SUM('t1'!AJ22:AJ24)</f>
        <v>0</v>
      </c>
      <c r="AV10" s="1331"/>
      <c r="AY10" s="1331"/>
      <c r="AZ10" s="1331"/>
      <c r="BA10" s="1331"/>
      <c r="BB10" s="1331"/>
      <c r="BC10" s="1331"/>
      <c r="BD10" s="1331"/>
      <c r="BE10" s="1331"/>
      <c r="BF10" s="1331"/>
      <c r="BG10" s="1331"/>
      <c r="BH10" s="1331"/>
      <c r="BI10" s="1331"/>
      <c r="BJ10" s="1331"/>
      <c r="BK10" s="1331"/>
      <c r="BL10" s="1331"/>
      <c r="BM10" s="1331"/>
      <c r="BN10" s="1331"/>
      <c r="BO10" s="1331"/>
      <c r="BP10" s="1331"/>
      <c r="BQ10" s="1331"/>
      <c r="BR10" s="1331"/>
      <c r="BS10" s="1331"/>
      <c r="BT10" s="1331"/>
      <c r="BU10" s="1331"/>
      <c r="BV10" s="1331"/>
      <c r="BW10" s="1331"/>
      <c r="BX10" s="1331"/>
      <c r="BY10" s="1331"/>
      <c r="BZ10" s="1331"/>
      <c r="CA10" s="1331"/>
      <c r="CB10" s="1331"/>
      <c r="CC10" s="1331"/>
      <c r="CD10" s="1331"/>
      <c r="CE10" s="1331"/>
      <c r="CF10" s="1331"/>
      <c r="CG10" s="1331"/>
      <c r="CH10" s="1331"/>
      <c r="CI10" s="1331"/>
      <c r="CJ10" s="1331"/>
      <c r="CK10" s="1331"/>
      <c r="CL10" s="1331"/>
      <c r="CM10" s="1331"/>
      <c r="CN10" s="1331"/>
      <c r="CO10" s="1331"/>
      <c r="CP10" s="1331"/>
      <c r="CQ10" s="1331"/>
      <c r="CR10" s="1331"/>
      <c r="CS10" s="1331"/>
      <c r="CT10" s="1331"/>
      <c r="CU10" s="1331"/>
      <c r="CV10" s="1331"/>
      <c r="CW10" s="1331"/>
      <c r="CX10" s="1331"/>
      <c r="CY10" s="1331"/>
      <c r="CZ10" s="1331"/>
      <c r="DA10" s="1331"/>
      <c r="DB10" s="1331"/>
      <c r="DC10" s="1331"/>
      <c r="DD10" s="1331"/>
      <c r="DE10" s="1331"/>
      <c r="DF10" s="1331"/>
      <c r="DG10" s="1331"/>
      <c r="DH10" s="1331"/>
      <c r="DI10" s="1331"/>
      <c r="DJ10" s="1331"/>
      <c r="DK10" s="1331"/>
      <c r="DL10" s="1331"/>
      <c r="DM10" s="1331"/>
      <c r="DN10" s="1331"/>
      <c r="DO10" s="1331"/>
      <c r="DP10" s="1331"/>
      <c r="DQ10" s="1331"/>
      <c r="DR10" s="1331"/>
      <c r="DS10" s="1331"/>
      <c r="DT10" s="1331"/>
      <c r="DU10" s="1331"/>
      <c r="DV10" s="1331"/>
      <c r="DW10" s="1331"/>
      <c r="DX10" s="1331"/>
      <c r="DY10" s="1331"/>
      <c r="DZ10" s="1331"/>
      <c r="EA10" s="1331"/>
      <c r="EB10" s="1331"/>
      <c r="EC10" s="1331"/>
      <c r="ED10" s="1331"/>
      <c r="EE10" s="1331"/>
      <c r="EF10" s="1331"/>
      <c r="EG10" s="1331"/>
      <c r="EH10" s="1331"/>
      <c r="EI10" s="1331"/>
      <c r="EJ10" s="1331"/>
      <c r="EK10" s="1331"/>
      <c r="EL10" s="1331"/>
      <c r="EM10" s="1331"/>
      <c r="EN10" s="1331"/>
      <c r="EO10" s="1331"/>
      <c r="EP10" s="1331"/>
      <c r="EQ10" s="1331"/>
      <c r="ER10" s="1331"/>
      <c r="ES10" s="1331"/>
      <c r="ET10" s="1331"/>
      <c r="EU10" s="1331"/>
      <c r="EV10" s="1331"/>
      <c r="EW10" s="1331"/>
      <c r="EX10" s="1331"/>
      <c r="EY10" s="1331"/>
      <c r="EZ10" s="1331"/>
      <c r="FA10" s="1331"/>
      <c r="FB10" s="1331"/>
      <c r="FC10" s="1331"/>
      <c r="FD10" s="1331"/>
      <c r="FE10" s="1331"/>
      <c r="FF10" s="1331"/>
      <c r="FG10" s="1331"/>
      <c r="FH10" s="1331"/>
      <c r="FI10" s="1331"/>
      <c r="FJ10" s="1331"/>
      <c r="FK10" s="1331"/>
      <c r="FL10" s="1331"/>
      <c r="FM10" s="1331"/>
      <c r="FN10" s="1331"/>
      <c r="FO10" s="1331"/>
      <c r="FP10" s="1331"/>
      <c r="FQ10" s="1331"/>
      <c r="FR10" s="1331"/>
      <c r="FS10" s="1331"/>
      <c r="FT10" s="1331"/>
      <c r="FU10" s="1331"/>
      <c r="FV10" s="1331"/>
      <c r="FW10" s="1331"/>
      <c r="FX10" s="1331"/>
      <c r="FY10" s="1331"/>
      <c r="FZ10" s="1331"/>
      <c r="GA10" s="1331"/>
      <c r="GB10" s="1331"/>
      <c r="GC10" s="1331"/>
      <c r="GD10" s="1331"/>
      <c r="GE10" s="1331"/>
      <c r="GF10" s="1331"/>
      <c r="GG10" s="1331"/>
      <c r="GH10" s="1331"/>
      <c r="GI10" s="1331"/>
      <c r="GJ10" s="1331"/>
      <c r="GK10" s="1331"/>
      <c r="GL10" s="1331"/>
      <c r="GM10" s="1331"/>
      <c r="GN10" s="1331"/>
      <c r="GO10" s="1331"/>
      <c r="GP10" s="1331"/>
      <c r="GQ10" s="1331"/>
      <c r="GR10" s="1331"/>
      <c r="GS10" s="1331"/>
      <c r="GT10" s="1331"/>
      <c r="GU10" s="1331"/>
      <c r="GV10" s="1331"/>
      <c r="GW10" s="1331"/>
      <c r="GX10" s="1331"/>
      <c r="GY10" s="1331"/>
      <c r="GZ10" s="1331"/>
      <c r="HA10" s="1331"/>
      <c r="HB10" s="1331"/>
      <c r="HC10" s="1331"/>
      <c r="HD10" s="1331"/>
      <c r="HE10" s="1331"/>
      <c r="HF10" s="1331"/>
      <c r="HG10" s="1331"/>
      <c r="HH10" s="1331"/>
      <c r="HI10" s="1331"/>
      <c r="HJ10" s="1331"/>
      <c r="HK10" s="1331"/>
      <c r="HL10" s="1331"/>
      <c r="HM10" s="1331"/>
      <c r="HN10" s="1331"/>
      <c r="HO10" s="1331"/>
      <c r="HP10" s="1331"/>
      <c r="HQ10" s="1331"/>
      <c r="HR10" s="1331"/>
      <c r="HS10" s="1331"/>
      <c r="HT10" s="1331"/>
      <c r="HU10" s="1331"/>
      <c r="HV10" s="1331"/>
      <c r="HW10" s="1331"/>
      <c r="HX10" s="1331"/>
      <c r="HY10" s="1331"/>
      <c r="HZ10" s="1331"/>
      <c r="IA10" s="1331"/>
      <c r="IB10" s="1331"/>
      <c r="IC10" s="1331"/>
      <c r="ID10" s="1331"/>
      <c r="IE10" s="1331"/>
      <c r="IF10" s="1331"/>
      <c r="IG10" s="1331"/>
      <c r="IH10" s="1331"/>
      <c r="II10" s="1331"/>
      <c r="IJ10" s="1331"/>
      <c r="IK10" s="1331"/>
      <c r="IL10" s="1331"/>
      <c r="IM10" s="1331"/>
      <c r="IN10" s="1331"/>
      <c r="IO10" s="1331"/>
      <c r="IP10" s="1331"/>
      <c r="IQ10" s="1331"/>
      <c r="IR10" s="1331"/>
      <c r="IS10" s="1331"/>
      <c r="IT10" s="1331"/>
      <c r="IU10" s="1331"/>
      <c r="IV10" s="1331"/>
      <c r="IW10" s="1331"/>
      <c r="IX10" s="1331"/>
    </row>
  </sheetData>
  <sheetProtection algorithmName="SHA-512" hashValue="rF04D/SiBFsP7FCpr9SlHJEAEm9lBIqh2cxwuy+wjii44MbwByDYT9dj1KqAUAMQ2q+TV19Y2I6Bo7B69gDxVQ==" saltValue="pLFjROuw2R7G02DPkpKgrw==" spinCount="100000" sheet="1" selectLockedCells="1"/>
  <mergeCells count="22">
    <mergeCell ref="A1:AU2"/>
    <mergeCell ref="AG5:AH5"/>
    <mergeCell ref="AI5:AJ5"/>
    <mergeCell ref="AK5:AL5"/>
    <mergeCell ref="AQ5:AR5"/>
    <mergeCell ref="AT5:AU5"/>
    <mergeCell ref="M5:N5"/>
    <mergeCell ref="S5:T5"/>
    <mergeCell ref="AA5:AB5"/>
    <mergeCell ref="AC5:AD5"/>
    <mergeCell ref="AE5:AF5"/>
    <mergeCell ref="A4:A6"/>
    <mergeCell ref="B4:B6"/>
    <mergeCell ref="C4:T4"/>
    <mergeCell ref="AA4:AR4"/>
    <mergeCell ref="C5:D5"/>
    <mergeCell ref="AM5:AN5"/>
    <mergeCell ref="AO5:AP5"/>
    <mergeCell ref="E5:F5"/>
    <mergeCell ref="G5:H5"/>
    <mergeCell ref="I5:J5"/>
    <mergeCell ref="K5:L5"/>
  </mergeCells>
  <conditionalFormatting sqref="AA7:AL8 C7:T9 AQ7:AR9 AA9:AF9">
    <cfRule type="expression" dxfId="47" priority="4" stopIfTrue="1">
      <formula>#REF!&gt;0</formula>
    </cfRule>
  </conditionalFormatting>
  <conditionalFormatting sqref="AM7:AN7">
    <cfRule type="expression" dxfId="46" priority="1" stopIfTrue="1">
      <formula>$M7&gt;0</formula>
    </cfRule>
  </conditionalFormatting>
  <conditionalFormatting sqref="AT7:AU9">
    <cfRule type="containsText" dxfId="45" priority="2" operator="containsText" text="Errore">
      <formula>NOT(ISERROR(SEARCH("Errore",AT7)))</formula>
    </cfRule>
  </conditionalFormatting>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Foglio30"/>
  <dimension ref="A1:K25"/>
  <sheetViews>
    <sheetView showGridLines="0" workbookViewId="0">
      <pane ySplit="5" topLeftCell="A6" activePane="bottomLeft" state="frozen"/>
      <selection activeCell="A2" sqref="A2"/>
      <selection pane="bottomLeft" activeCell="B5" sqref="B5"/>
    </sheetView>
  </sheetViews>
  <sheetFormatPr defaultRowHeight="10.199999999999999" x14ac:dyDescent="0.2"/>
  <cols>
    <col min="1" max="1" width="38.7109375" style="3" customWidth="1"/>
    <col min="2" max="2" width="11.28515625" style="2" customWidth="1"/>
    <col min="3" max="3" width="21.28515625" style="366" customWidth="1"/>
    <col min="4" max="5" width="21.28515625" style="2" customWidth="1"/>
    <col min="6" max="6" width="21.28515625" style="333" customWidth="1"/>
    <col min="7" max="7" width="21.28515625" style="2" customWidth="1"/>
    <col min="8" max="8" width="9.28515625" style="95" customWidth="1"/>
  </cols>
  <sheetData>
    <row r="1" spans="1:11" s="3" customFormat="1" ht="43.5" customHeight="1" x14ac:dyDescent="0.2">
      <c r="A1" s="1463" t="str">
        <f>'t1'!A1</f>
        <v>ENTI PUBBLICI NON ECONOMICI - anno 2023</v>
      </c>
      <c r="B1" s="1463"/>
      <c r="C1" s="1463"/>
      <c r="D1" s="1463"/>
      <c r="E1" s="1463"/>
      <c r="F1" s="1463"/>
      <c r="G1" s="1463"/>
      <c r="K1"/>
    </row>
    <row r="2" spans="1:11" s="3" customFormat="1" ht="21" customHeight="1" x14ac:dyDescent="0.2">
      <c r="C2" s="363"/>
      <c r="D2" s="1547"/>
      <c r="E2" s="1547"/>
      <c r="F2" s="1547"/>
      <c r="G2" s="1547"/>
      <c r="H2" s="290"/>
      <c r="K2"/>
    </row>
    <row r="3" spans="1:11" s="3" customFormat="1" ht="21" customHeight="1" x14ac:dyDescent="0.25">
      <c r="A3" s="173" t="s">
        <v>282</v>
      </c>
      <c r="B3" s="2"/>
      <c r="C3" s="363"/>
      <c r="F3" s="334"/>
      <c r="G3" s="2"/>
    </row>
    <row r="4" spans="1:11" ht="53.25" customHeight="1" x14ac:dyDescent="0.2">
      <c r="A4" s="160" t="s">
        <v>218</v>
      </c>
      <c r="B4" s="161" t="s">
        <v>180</v>
      </c>
      <c r="C4" s="364" t="str">
        <f>"Presenti 31.12."&amp;'t1'!L1&amp;" (Tab T1) uomini+donne della tabella T1"</f>
        <v>Presenti 31.12.2023 (Tab T1) uomini+donne della tabella T1</v>
      </c>
      <c r="D4" s="161" t="s">
        <v>277</v>
      </c>
      <c r="E4" s="161" t="s">
        <v>280</v>
      </c>
      <c r="F4" s="367" t="s">
        <v>281</v>
      </c>
      <c r="G4" s="161" t="s">
        <v>283</v>
      </c>
    </row>
    <row r="5" spans="1:11" s="176" customFormat="1" x14ac:dyDescent="0.2">
      <c r="A5" s="159"/>
      <c r="B5" s="171"/>
      <c r="C5" s="365" t="s">
        <v>182</v>
      </c>
      <c r="D5" s="171" t="s">
        <v>183</v>
      </c>
      <c r="E5" s="171" t="s">
        <v>184</v>
      </c>
      <c r="F5" s="368" t="s">
        <v>185</v>
      </c>
      <c r="G5" s="171"/>
      <c r="H5" s="95"/>
    </row>
    <row r="6" spans="1:11" ht="13.2" x14ac:dyDescent="0.25">
      <c r="A6" s="118" t="str">
        <f>'t1'!A6</f>
        <v>DIRETTORE GENERALE</v>
      </c>
      <c r="B6" s="92" t="str">
        <f>'t1'!B6</f>
        <v>0D0097</v>
      </c>
      <c r="C6" s="600">
        <f>('t1'!K6+'t1'!L6)</f>
        <v>0</v>
      </c>
      <c r="D6" s="315">
        <f>'t5'!U7+'t5'!V7</f>
        <v>0</v>
      </c>
      <c r="E6" s="315">
        <f>'t4'!W15</f>
        <v>0</v>
      </c>
      <c r="F6" s="316">
        <f>'t12'!C6</f>
        <v>0</v>
      </c>
      <c r="G6" s="335" t="str">
        <f>IF(OR(AND(NOT(C6),NOT(D6),NOT(E6),NOT(F6)),AND((OR(C6,D6,E6)),F6)),"OK","ERRORE")</f>
        <v>OK</v>
      </c>
    </row>
    <row r="7" spans="1:11" ht="13.2" x14ac:dyDescent="0.25">
      <c r="A7" s="118" t="str">
        <f>'t1'!A7</f>
        <v>DIRIGENTE I FASCIA</v>
      </c>
      <c r="B7" s="92" t="str">
        <f>'t1'!B7</f>
        <v>0D0077</v>
      </c>
      <c r="C7" s="600">
        <f>('t1'!K7+'t1'!L7)</f>
        <v>0</v>
      </c>
      <c r="D7" s="315">
        <f>'t5'!U8+'t5'!V8</f>
        <v>0</v>
      </c>
      <c r="E7" s="315">
        <f>'t4'!W16</f>
        <v>0</v>
      </c>
      <c r="F7" s="316">
        <f>'t12'!C7</f>
        <v>0</v>
      </c>
      <c r="G7" s="335" t="str">
        <f t="shared" ref="G7:G20" si="0">IF(OR(AND(NOT(C7),NOT(D7),NOT(E7),NOT(F7)),AND((OR(C7,D7,E7)),F7)),"OK","ERRORE")</f>
        <v>OK</v>
      </c>
    </row>
    <row r="8" spans="1:11" ht="13.2" x14ac:dyDescent="0.25">
      <c r="A8" s="118" t="str">
        <f>'t1'!A8</f>
        <v>DIRIGENTE I FASCIA A TEMPO DETERM.</v>
      </c>
      <c r="B8" s="92" t="str">
        <f>'t1'!B8</f>
        <v>0D0078</v>
      </c>
      <c r="C8" s="600">
        <f>('t1'!K8+'t1'!L8)</f>
        <v>0</v>
      </c>
      <c r="D8" s="315">
        <f>'t5'!U9+'t5'!V9</f>
        <v>0</v>
      </c>
      <c r="E8" s="315">
        <f>'t4'!W17</f>
        <v>0</v>
      </c>
      <c r="F8" s="316">
        <f>'t12'!C8</f>
        <v>0</v>
      </c>
      <c r="G8" s="335" t="str">
        <f t="shared" si="0"/>
        <v>OK</v>
      </c>
    </row>
    <row r="9" spans="1:11" ht="13.2" x14ac:dyDescent="0.25">
      <c r="A9" s="118" t="str">
        <f>'t1'!A9</f>
        <v>DIRIGENTE II FASCIA</v>
      </c>
      <c r="B9" s="92" t="str">
        <f>'t1'!B9</f>
        <v>0D0079</v>
      </c>
      <c r="C9" s="600">
        <f>('t1'!K9+'t1'!L9)</f>
        <v>0</v>
      </c>
      <c r="D9" s="315">
        <f>'t5'!U10+'t5'!V10</f>
        <v>0</v>
      </c>
      <c r="E9" s="315">
        <f>'t4'!W18</f>
        <v>0</v>
      </c>
      <c r="F9" s="316">
        <f>'t12'!C9</f>
        <v>0</v>
      </c>
      <c r="G9" s="335" t="str">
        <f t="shared" si="0"/>
        <v>OK</v>
      </c>
    </row>
    <row r="10" spans="1:11" ht="13.2" x14ac:dyDescent="0.25">
      <c r="A10" s="118" t="str">
        <f>'t1'!A10</f>
        <v>DIRIGENTE II FASCIA A TEMPO DETERM.</v>
      </c>
      <c r="B10" s="92" t="str">
        <f>'t1'!B10</f>
        <v>0D0080</v>
      </c>
      <c r="C10" s="600">
        <f>('t1'!K10+'t1'!L10)</f>
        <v>0</v>
      </c>
      <c r="D10" s="315">
        <f>'t5'!U11+'t5'!V11</f>
        <v>0</v>
      </c>
      <c r="E10" s="315">
        <f>'t4'!W19</f>
        <v>0</v>
      </c>
      <c r="F10" s="316">
        <f>'t12'!C10</f>
        <v>0</v>
      </c>
      <c r="G10" s="335" t="str">
        <f t="shared" si="0"/>
        <v>OK</v>
      </c>
    </row>
    <row r="11" spans="1:11" ht="13.2" x14ac:dyDescent="0.25">
      <c r="A11" s="118" t="str">
        <f>'t1'!A11</f>
        <v>MEDICO II FASCIA T.P.</v>
      </c>
      <c r="B11" s="92" t="str">
        <f>'t1'!B11</f>
        <v>0D0584</v>
      </c>
      <c r="C11" s="600">
        <f>('t1'!K11+'t1'!L11)</f>
        <v>0</v>
      </c>
      <c r="D11" s="315">
        <f>'t5'!U12+'t5'!V12</f>
        <v>0</v>
      </c>
      <c r="E11" s="315">
        <f>'t4'!W20</f>
        <v>0</v>
      </c>
      <c r="F11" s="316">
        <f>'t12'!C11</f>
        <v>0</v>
      </c>
      <c r="G11" s="335" t="str">
        <f t="shared" si="0"/>
        <v>OK</v>
      </c>
    </row>
    <row r="12" spans="1:11" ht="13.2" x14ac:dyDescent="0.25">
      <c r="A12" s="118" t="str">
        <f>'t1'!A12</f>
        <v>MEDICO I FASCIA T.P.</v>
      </c>
      <c r="B12" s="92" t="str">
        <f>'t1'!B12</f>
        <v>0D0585</v>
      </c>
      <c r="C12" s="600">
        <f>('t1'!K12+'t1'!L12)</f>
        <v>0</v>
      </c>
      <c r="D12" s="315">
        <f>'t5'!U13+'t5'!V13</f>
        <v>0</v>
      </c>
      <c r="E12" s="315">
        <f>'t4'!W21</f>
        <v>0</v>
      </c>
      <c r="F12" s="316">
        <f>'t12'!C12</f>
        <v>0</v>
      </c>
      <c r="G12" s="335" t="str">
        <f t="shared" si="0"/>
        <v>OK</v>
      </c>
    </row>
    <row r="13" spans="1:11" ht="13.2" x14ac:dyDescent="0.25">
      <c r="A13" s="118" t="str">
        <f>'t1'!A13</f>
        <v>MEDICO II FASCIA T.D.</v>
      </c>
      <c r="B13" s="92" t="str">
        <f>'t1'!B13</f>
        <v>0D0586</v>
      </c>
      <c r="C13" s="600">
        <f>('t1'!K13+'t1'!L13)</f>
        <v>0</v>
      </c>
      <c r="D13" s="315">
        <f>'t5'!U14+'t5'!V14</f>
        <v>0</v>
      </c>
      <c r="E13" s="315">
        <f>'t4'!W22</f>
        <v>0</v>
      </c>
      <c r="F13" s="316">
        <f>'t12'!C13</f>
        <v>0</v>
      </c>
      <c r="G13" s="335" t="str">
        <f t="shared" si="0"/>
        <v>OK</v>
      </c>
    </row>
    <row r="14" spans="1:11" ht="13.2" x14ac:dyDescent="0.25">
      <c r="A14" s="118" t="str">
        <f>'t1'!A14</f>
        <v>MEDICO I FASCIA T.D.</v>
      </c>
      <c r="B14" s="92" t="str">
        <f>'t1'!B14</f>
        <v>0D0496</v>
      </c>
      <c r="C14" s="600">
        <f>('t1'!K14+'t1'!L14)</f>
        <v>0</v>
      </c>
      <c r="D14" s="315">
        <f>'t5'!U15+'t5'!V15</f>
        <v>0</v>
      </c>
      <c r="E14" s="315">
        <f>'t4'!W23</f>
        <v>0</v>
      </c>
      <c r="F14" s="316">
        <f>'t12'!C14</f>
        <v>0</v>
      </c>
      <c r="G14" s="335" t="str">
        <f t="shared" si="0"/>
        <v>OK</v>
      </c>
    </row>
    <row r="15" spans="1:11" ht="13.2" x14ac:dyDescent="0.25">
      <c r="A15" s="118" t="str">
        <f>'t1'!A15</f>
        <v>PROF.STI LEGALI LIV. II DIFF.</v>
      </c>
      <c r="B15" s="92" t="str">
        <f>'t1'!B15</f>
        <v>0D0473</v>
      </c>
      <c r="C15" s="600">
        <f>('t1'!K15+'t1'!L15)</f>
        <v>0</v>
      </c>
      <c r="D15" s="315">
        <f>'t5'!U16+'t5'!V16</f>
        <v>0</v>
      </c>
      <c r="E15" s="315">
        <f>'t4'!W24</f>
        <v>0</v>
      </c>
      <c r="F15" s="316">
        <f>'t12'!C15</f>
        <v>0</v>
      </c>
      <c r="G15" s="335" t="str">
        <f t="shared" si="0"/>
        <v>OK</v>
      </c>
    </row>
    <row r="16" spans="1:11" ht="13.2" x14ac:dyDescent="0.25">
      <c r="A16" s="118" t="str">
        <f>'t1'!A16</f>
        <v>PROF.STI LEGALI LIV. I DIFF.</v>
      </c>
      <c r="B16" s="92" t="str">
        <f>'t1'!B16</f>
        <v>0D0472</v>
      </c>
      <c r="C16" s="600">
        <f>('t1'!K16+'t1'!L16)</f>
        <v>0</v>
      </c>
      <c r="D16" s="315">
        <f>'t5'!U17+'t5'!V17</f>
        <v>0</v>
      </c>
      <c r="E16" s="315">
        <f>'t4'!W25</f>
        <v>0</v>
      </c>
      <c r="F16" s="316">
        <f>'t12'!C16</f>
        <v>0</v>
      </c>
      <c r="G16" s="335" t="str">
        <f t="shared" si="0"/>
        <v>OK</v>
      </c>
    </row>
    <row r="17" spans="1:7" ht="13.2" x14ac:dyDescent="0.25">
      <c r="A17" s="118" t="str">
        <f>'t1'!A17</f>
        <v>PROF.STI LEGALI</v>
      </c>
      <c r="B17" s="92" t="str">
        <f>'t1'!B17</f>
        <v>0D0084</v>
      </c>
      <c r="C17" s="600">
        <f>('t1'!K17+'t1'!L17)</f>
        <v>0</v>
      </c>
      <c r="D17" s="315">
        <f>'t5'!U18+'t5'!V18</f>
        <v>0</v>
      </c>
      <c r="E17" s="315">
        <f>'t4'!W26</f>
        <v>0</v>
      </c>
      <c r="F17" s="316">
        <f>'t12'!C17</f>
        <v>0</v>
      </c>
      <c r="G17" s="335" t="str">
        <f t="shared" si="0"/>
        <v>OK</v>
      </c>
    </row>
    <row r="18" spans="1:7" ht="13.2" x14ac:dyDescent="0.25">
      <c r="A18" s="118" t="str">
        <f>'t1'!A18</f>
        <v>ALTRI PROF.STI LIV. II DIFF.</v>
      </c>
      <c r="B18" s="92" t="str">
        <f>'t1'!B18</f>
        <v>0D0481</v>
      </c>
      <c r="C18" s="600">
        <f>('t1'!K18+'t1'!L18)</f>
        <v>0</v>
      </c>
      <c r="D18" s="315">
        <f>'t5'!U19+'t5'!V19</f>
        <v>0</v>
      </c>
      <c r="E18" s="315">
        <f>'t4'!W27</f>
        <v>0</v>
      </c>
      <c r="F18" s="316">
        <f>'t12'!C18</f>
        <v>0</v>
      </c>
      <c r="G18" s="335" t="str">
        <f t="shared" si="0"/>
        <v>OK</v>
      </c>
    </row>
    <row r="19" spans="1:7" ht="13.2" x14ac:dyDescent="0.25">
      <c r="A19" s="118" t="str">
        <f>'t1'!A19</f>
        <v>ALTRI PROF.STI LIV. I DIFF.</v>
      </c>
      <c r="B19" s="92" t="str">
        <f>'t1'!B19</f>
        <v>0D0480</v>
      </c>
      <c r="C19" s="600">
        <f>('t1'!K19+'t1'!L19)</f>
        <v>0</v>
      </c>
      <c r="D19" s="315">
        <f>'t5'!U20+'t5'!V20</f>
        <v>0</v>
      </c>
      <c r="E19" s="315">
        <f>'t4'!W28</f>
        <v>0</v>
      </c>
      <c r="F19" s="316">
        <f>'t12'!C19</f>
        <v>0</v>
      </c>
      <c r="G19" s="335" t="str">
        <f t="shared" si="0"/>
        <v>OK</v>
      </c>
    </row>
    <row r="20" spans="1:7" ht="13.2" x14ac:dyDescent="0.25">
      <c r="A20" s="118" t="str">
        <f>'t1'!A20</f>
        <v>ALTRI PROF.STI</v>
      </c>
      <c r="B20" s="92" t="str">
        <f>'t1'!B20</f>
        <v>0D0075</v>
      </c>
      <c r="C20" s="600">
        <f>('t1'!K20+'t1'!L20)</f>
        <v>0</v>
      </c>
      <c r="D20" s="315">
        <f>'t5'!U21+'t5'!V21</f>
        <v>0</v>
      </c>
      <c r="E20" s="315">
        <f>'t4'!W29</f>
        <v>0</v>
      </c>
      <c r="F20" s="316">
        <f>'t12'!C20</f>
        <v>0</v>
      </c>
      <c r="G20" s="335" t="str">
        <f t="shared" si="0"/>
        <v>OK</v>
      </c>
    </row>
    <row r="21" spans="1:7" ht="13.2" x14ac:dyDescent="0.25">
      <c r="A21" s="118" t="str">
        <f>'t1'!A21</f>
        <v>ELEVATE PROFESSIONALITA'</v>
      </c>
      <c r="B21" s="92" t="str">
        <f>'t1'!B21</f>
        <v>0EP981</v>
      </c>
      <c r="C21" s="600">
        <f>('t1'!K21+'t1'!L21)</f>
        <v>0</v>
      </c>
      <c r="D21" s="315">
        <f>'t5'!U22+'t5'!V22</f>
        <v>0</v>
      </c>
      <c r="E21" s="315">
        <f>'t4'!W30</f>
        <v>0</v>
      </c>
      <c r="F21" s="316">
        <f>'t12'!C21</f>
        <v>0</v>
      </c>
      <c r="G21" s="335" t="str">
        <f>IF(OR(AND(NOT(C21),NOT(D21),NOT(E21),NOT(F21)),AND((OR(C21,D21,E21)),F21)),"OK","ERRORE")</f>
        <v>OK</v>
      </c>
    </row>
    <row r="22" spans="1:7" ht="13.2" x14ac:dyDescent="0.25">
      <c r="A22" s="118" t="str">
        <f>'t1'!A22</f>
        <v>FUNZIONARI</v>
      </c>
      <c r="B22" s="92" t="str">
        <f>'t1'!B22</f>
        <v>0FZ000</v>
      </c>
      <c r="C22" s="600">
        <f>('t1'!K22+'t1'!L22)</f>
        <v>0</v>
      </c>
      <c r="D22" s="315">
        <f>'t5'!U23+'t5'!V23</f>
        <v>0</v>
      </c>
      <c r="E22" s="315">
        <f>'t4'!W31</f>
        <v>0</v>
      </c>
      <c r="F22" s="316">
        <f>'t12'!C22</f>
        <v>0</v>
      </c>
      <c r="G22" s="335" t="str">
        <f>IF(OR(AND(NOT(C22),NOT(D22),NOT(E22),NOT(F22)),AND((OR(C22,D22,E22)),F22)),"OK","ERRORE")</f>
        <v>OK</v>
      </c>
    </row>
    <row r="23" spans="1:7" ht="13.2" x14ac:dyDescent="0.25">
      <c r="A23" s="118" t="str">
        <f>'t1'!A23</f>
        <v>ASSISTENTI</v>
      </c>
      <c r="B23" s="92" t="str">
        <f>'t1'!B23</f>
        <v>0AS000</v>
      </c>
      <c r="C23" s="600">
        <f>('t1'!K23+'t1'!L23)</f>
        <v>0</v>
      </c>
      <c r="D23" s="315">
        <f>'t5'!U24+'t5'!V24</f>
        <v>0</v>
      </c>
      <c r="E23" s="315">
        <f>'t4'!W32</f>
        <v>0</v>
      </c>
      <c r="F23" s="316">
        <f>'t12'!C23</f>
        <v>0</v>
      </c>
      <c r="G23" s="335" t="str">
        <f>IF(OR(AND(NOT(C23),NOT(D23),NOT(E23),NOT(F23)),AND((OR(C23,D23,E23)),F23)),"OK","ERRORE")</f>
        <v>OK</v>
      </c>
    </row>
    <row r="24" spans="1:7" ht="13.2" x14ac:dyDescent="0.25">
      <c r="A24" s="118" t="str">
        <f>'t1'!A24</f>
        <v>OPERATORI</v>
      </c>
      <c r="B24" s="92" t="str">
        <f>'t1'!B24</f>
        <v>0OP000</v>
      </c>
      <c r="C24" s="600">
        <f>('t1'!K24+'t1'!L24)</f>
        <v>0</v>
      </c>
      <c r="D24" s="315">
        <f>'t5'!U25+'t5'!V25</f>
        <v>0</v>
      </c>
      <c r="E24" s="315">
        <f>'t4'!W33</f>
        <v>0</v>
      </c>
      <c r="F24" s="316">
        <f>'t12'!C24</f>
        <v>0</v>
      </c>
      <c r="G24" s="335" t="str">
        <f>IF(OR(AND(NOT(C24),NOT(D24),NOT(E24),NOT(F24)),AND((OR(C24,D24,E24)),F24)),"OK","ERRORE")</f>
        <v>OK</v>
      </c>
    </row>
    <row r="25" spans="1:7" ht="13.2" x14ac:dyDescent="0.25">
      <c r="A25" s="118" t="str">
        <f>'t1'!A25</f>
        <v>CONTRATTISTI</v>
      </c>
      <c r="B25" s="92" t="str">
        <f>'t1'!B25</f>
        <v>000061</v>
      </c>
      <c r="C25" s="600">
        <f>('t1'!K25+'t1'!L25)</f>
        <v>0</v>
      </c>
      <c r="D25" s="315">
        <f>'t5'!U26+'t5'!V26</f>
        <v>0</v>
      </c>
      <c r="E25" s="315">
        <f>'t4'!W34</f>
        <v>0</v>
      </c>
      <c r="F25" s="316">
        <f>'t12'!C25</f>
        <v>0</v>
      </c>
      <c r="G25" s="335" t="str">
        <f>IF(OR(AND(NOT(C25),NOT(D25),NOT(E25),NOT(F25)),AND((OR(C25,D25,E25)),F25)),"OK","ERRORE")</f>
        <v>OK</v>
      </c>
    </row>
  </sheetData>
  <sheetProtection algorithmName="SHA-512" hashValue="ELOtPw3MSu6pmdjwUJaDUcKyKVf7cxNhjO5Gw0ClCKvh1RFr3xXHS//jfL08F53a7Df6ChwkroXqRExrF6Wikg==" saltValue="DCVWnedjOErMtHyG5OVtpw==" spinCount="100000" sheet="1" formatColumns="0" selectLockedCells="1" selectUnlockedCells="1"/>
  <mergeCells count="2">
    <mergeCell ref="A1:G1"/>
    <mergeCell ref="D2:G2"/>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85" orientation="landscape" horizontalDpi="0" verticalDpi="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Foglio31"/>
  <dimension ref="A1:I25"/>
  <sheetViews>
    <sheetView showGridLines="0" workbookViewId="0">
      <pane ySplit="5" topLeftCell="A6" activePane="bottomLeft" state="frozen"/>
      <selection activeCell="A2" sqref="A2"/>
      <selection pane="bottomLeft" activeCell="B5" sqref="B5"/>
    </sheetView>
  </sheetViews>
  <sheetFormatPr defaultRowHeight="10.199999999999999" x14ac:dyDescent="0.2"/>
  <cols>
    <col min="1" max="1" width="38.7109375" style="3" customWidth="1"/>
    <col min="2" max="2" width="11.28515625" style="2" customWidth="1"/>
    <col min="3" max="3" width="17.7109375" style="2" customWidth="1"/>
    <col min="4" max="4" width="26.7109375" style="333" customWidth="1"/>
    <col min="5" max="5" width="15.7109375" style="2" customWidth="1"/>
    <col min="6" max="6" width="9.28515625" style="95" customWidth="1"/>
  </cols>
  <sheetData>
    <row r="1" spans="1:9" s="3" customFormat="1" ht="43.5" customHeight="1" x14ac:dyDescent="0.2">
      <c r="A1" s="1463" t="str">
        <f>'t1'!A1</f>
        <v>ENTI PUBBLICI NON ECONOMICI - anno 2023</v>
      </c>
      <c r="B1" s="1463"/>
      <c r="C1" s="1463"/>
      <c r="D1" s="1463"/>
      <c r="E1" s="1463"/>
      <c r="I1"/>
    </row>
    <row r="2" spans="1:9" s="3" customFormat="1" ht="12.75" customHeight="1" x14ac:dyDescent="0.2">
      <c r="C2" s="1547"/>
      <c r="D2" s="1547"/>
      <c r="E2" s="1547"/>
      <c r="F2" s="290"/>
      <c r="I2"/>
    </row>
    <row r="3" spans="1:9" s="3" customFormat="1" ht="21" customHeight="1" x14ac:dyDescent="0.25">
      <c r="A3" s="173" t="s">
        <v>325</v>
      </c>
      <c r="B3" s="2"/>
      <c r="D3" s="334"/>
      <c r="E3" s="2"/>
    </row>
    <row r="4" spans="1:9" ht="81.75" customHeight="1" x14ac:dyDescent="0.2">
      <c r="A4" s="160" t="s">
        <v>218</v>
      </c>
      <c r="B4" s="161" t="s">
        <v>180</v>
      </c>
      <c r="C4" s="161" t="s">
        <v>278</v>
      </c>
      <c r="D4" s="367" t="s">
        <v>306</v>
      </c>
      <c r="E4" s="161" t="s">
        <v>288</v>
      </c>
    </row>
    <row r="5" spans="1:9" s="176" customFormat="1" x14ac:dyDescent="0.2">
      <c r="A5" s="159"/>
      <c r="B5" s="171"/>
      <c r="C5" s="171" t="s">
        <v>182</v>
      </c>
      <c r="D5" s="368" t="s">
        <v>183</v>
      </c>
      <c r="E5" s="171"/>
      <c r="F5" s="175"/>
    </row>
    <row r="6" spans="1:9" ht="13.2" x14ac:dyDescent="0.25">
      <c r="A6" s="118" t="str">
        <f>'t1'!A6</f>
        <v>DIRETTORE GENERALE</v>
      </c>
      <c r="B6" s="92" t="str">
        <f>'t1'!B6</f>
        <v>0D0097</v>
      </c>
      <c r="C6" s="315">
        <f>'t13'!V6</f>
        <v>0</v>
      </c>
      <c r="D6" s="316">
        <f>('t3'!K6+'t3'!L6+'t3'!M6+'t3'!N6+'t3'!O6+'t3'!P6)+('t12'!C6/12)</f>
        <v>0</v>
      </c>
      <c r="E6" s="335" t="str">
        <f>IF(OR((NOT(C6)),(AND(C6&gt;=0,D6&gt;0))),"OK","ERRORE")</f>
        <v>OK</v>
      </c>
    </row>
    <row r="7" spans="1:9" ht="13.2" x14ac:dyDescent="0.25">
      <c r="A7" s="118" t="str">
        <f>'t1'!A7</f>
        <v>DIRIGENTE I FASCIA</v>
      </c>
      <c r="B7" s="92" t="str">
        <f>'t1'!B7</f>
        <v>0D0077</v>
      </c>
      <c r="C7" s="315">
        <f>'t13'!V7</f>
        <v>0</v>
      </c>
      <c r="D7" s="316">
        <f>('t3'!K7+'t3'!L7+'t3'!M7+'t3'!N7+'t3'!O7+'t3'!P7)+('t12'!C7/12)</f>
        <v>0</v>
      </c>
      <c r="E7" s="335" t="str">
        <f t="shared" ref="E7:E25" si="0">IF(OR((NOT(C7)),(AND(C7&gt;=0,D7&gt;0))),"OK","ERRORE")</f>
        <v>OK</v>
      </c>
    </row>
    <row r="8" spans="1:9" ht="13.2" x14ac:dyDescent="0.25">
      <c r="A8" s="118" t="str">
        <f>'t1'!A8</f>
        <v>DIRIGENTE I FASCIA A TEMPO DETERM.</v>
      </c>
      <c r="B8" s="92" t="str">
        <f>'t1'!B8</f>
        <v>0D0078</v>
      </c>
      <c r="C8" s="315">
        <f>'t13'!V8</f>
        <v>0</v>
      </c>
      <c r="D8" s="316">
        <f>('t3'!K8+'t3'!L8+'t3'!M8+'t3'!N8+'t3'!O8+'t3'!P8)+('t12'!C8/12)</f>
        <v>0</v>
      </c>
      <c r="E8" s="335" t="str">
        <f t="shared" si="0"/>
        <v>OK</v>
      </c>
    </row>
    <row r="9" spans="1:9" ht="13.2" x14ac:dyDescent="0.25">
      <c r="A9" s="118" t="str">
        <f>'t1'!A9</f>
        <v>DIRIGENTE II FASCIA</v>
      </c>
      <c r="B9" s="92" t="str">
        <f>'t1'!B9</f>
        <v>0D0079</v>
      </c>
      <c r="C9" s="315">
        <f>'t13'!V9</f>
        <v>0</v>
      </c>
      <c r="D9" s="316">
        <f>('t3'!K9+'t3'!L9+'t3'!M9+'t3'!N9+'t3'!O9+'t3'!P9)+('t12'!C9/12)</f>
        <v>0</v>
      </c>
      <c r="E9" s="335" t="str">
        <f t="shared" si="0"/>
        <v>OK</v>
      </c>
    </row>
    <row r="10" spans="1:9" ht="13.2" x14ac:dyDescent="0.25">
      <c r="A10" s="118" t="str">
        <f>'t1'!A10</f>
        <v>DIRIGENTE II FASCIA A TEMPO DETERM.</v>
      </c>
      <c r="B10" s="92" t="str">
        <f>'t1'!B10</f>
        <v>0D0080</v>
      </c>
      <c r="C10" s="315">
        <f>'t13'!V10</f>
        <v>0</v>
      </c>
      <c r="D10" s="316">
        <f>('t3'!K10+'t3'!L10+'t3'!M10+'t3'!N10+'t3'!O10+'t3'!P10)+('t12'!C10/12)</f>
        <v>0</v>
      </c>
      <c r="E10" s="335" t="str">
        <f t="shared" si="0"/>
        <v>OK</v>
      </c>
    </row>
    <row r="11" spans="1:9" ht="13.2" x14ac:dyDescent="0.25">
      <c r="A11" s="118" t="str">
        <f>'t1'!A11</f>
        <v>MEDICO II FASCIA T.P.</v>
      </c>
      <c r="B11" s="92" t="str">
        <f>'t1'!B11</f>
        <v>0D0584</v>
      </c>
      <c r="C11" s="315">
        <f>'t13'!V11</f>
        <v>0</v>
      </c>
      <c r="D11" s="316">
        <f>('t3'!K11+'t3'!L11+'t3'!M11+'t3'!N11+'t3'!O11+'t3'!P11)+('t12'!C11/12)</f>
        <v>0</v>
      </c>
      <c r="E11" s="335" t="str">
        <f t="shared" si="0"/>
        <v>OK</v>
      </c>
    </row>
    <row r="12" spans="1:9" ht="13.2" x14ac:dyDescent="0.25">
      <c r="A12" s="118" t="str">
        <f>'t1'!A12</f>
        <v>MEDICO I FASCIA T.P.</v>
      </c>
      <c r="B12" s="92" t="str">
        <f>'t1'!B12</f>
        <v>0D0585</v>
      </c>
      <c r="C12" s="315">
        <f>'t13'!V12</f>
        <v>0</v>
      </c>
      <c r="D12" s="316">
        <f>('t3'!K12+'t3'!L12+'t3'!M12+'t3'!N12+'t3'!O12+'t3'!P12)+('t12'!C12/12)</f>
        <v>0</v>
      </c>
      <c r="E12" s="335" t="str">
        <f t="shared" si="0"/>
        <v>OK</v>
      </c>
    </row>
    <row r="13" spans="1:9" ht="13.2" x14ac:dyDescent="0.25">
      <c r="A13" s="118" t="str">
        <f>'t1'!A13</f>
        <v>MEDICO II FASCIA T.D.</v>
      </c>
      <c r="B13" s="92" t="str">
        <f>'t1'!B13</f>
        <v>0D0586</v>
      </c>
      <c r="C13" s="315">
        <f>'t13'!V13</f>
        <v>0</v>
      </c>
      <c r="D13" s="316">
        <f>('t3'!K13+'t3'!L13+'t3'!M13+'t3'!N13+'t3'!O13+'t3'!P13)+('t12'!C13/12)</f>
        <v>0</v>
      </c>
      <c r="E13" s="335" t="str">
        <f t="shared" si="0"/>
        <v>OK</v>
      </c>
    </row>
    <row r="14" spans="1:9" ht="13.2" x14ac:dyDescent="0.25">
      <c r="A14" s="118" t="str">
        <f>'t1'!A14</f>
        <v>MEDICO I FASCIA T.D.</v>
      </c>
      <c r="B14" s="92" t="str">
        <f>'t1'!B14</f>
        <v>0D0496</v>
      </c>
      <c r="C14" s="315">
        <f>'t13'!V14</f>
        <v>0</v>
      </c>
      <c r="D14" s="316">
        <f>('t3'!K14+'t3'!L14+'t3'!M14+'t3'!N14+'t3'!O14+'t3'!P14)+('t12'!C14/12)</f>
        <v>0</v>
      </c>
      <c r="E14" s="335" t="str">
        <f t="shared" si="0"/>
        <v>OK</v>
      </c>
    </row>
    <row r="15" spans="1:9" ht="13.2" x14ac:dyDescent="0.25">
      <c r="A15" s="118" t="str">
        <f>'t1'!A15</f>
        <v>PROF.STI LEGALI LIV. II DIFF.</v>
      </c>
      <c r="B15" s="92" t="str">
        <f>'t1'!B15</f>
        <v>0D0473</v>
      </c>
      <c r="C15" s="315">
        <f>'t13'!V15</f>
        <v>0</v>
      </c>
      <c r="D15" s="316">
        <f>('t3'!K15+'t3'!L15+'t3'!M15+'t3'!N15+'t3'!O15+'t3'!P15)+('t12'!C15/12)</f>
        <v>0</v>
      </c>
      <c r="E15" s="335" t="str">
        <f t="shared" si="0"/>
        <v>OK</v>
      </c>
    </row>
    <row r="16" spans="1:9" ht="13.2" x14ac:dyDescent="0.25">
      <c r="A16" s="118" t="str">
        <f>'t1'!A16</f>
        <v>PROF.STI LEGALI LIV. I DIFF.</v>
      </c>
      <c r="B16" s="92" t="str">
        <f>'t1'!B16</f>
        <v>0D0472</v>
      </c>
      <c r="C16" s="315">
        <f>'t13'!V16</f>
        <v>0</v>
      </c>
      <c r="D16" s="316">
        <f>('t3'!K16+'t3'!L16+'t3'!M16+'t3'!N16+'t3'!O16+'t3'!P16)+('t12'!C16/12)</f>
        <v>0</v>
      </c>
      <c r="E16" s="335" t="str">
        <f t="shared" si="0"/>
        <v>OK</v>
      </c>
    </row>
    <row r="17" spans="1:5" ht="13.2" x14ac:dyDescent="0.25">
      <c r="A17" s="118" t="str">
        <f>'t1'!A17</f>
        <v>PROF.STI LEGALI</v>
      </c>
      <c r="B17" s="92" t="str">
        <f>'t1'!B17</f>
        <v>0D0084</v>
      </c>
      <c r="C17" s="315">
        <f>'t13'!V17</f>
        <v>0</v>
      </c>
      <c r="D17" s="316">
        <f>('t3'!K17+'t3'!L17+'t3'!M17+'t3'!N17+'t3'!O17+'t3'!P17)+('t12'!C17/12)</f>
        <v>0</v>
      </c>
      <c r="E17" s="335" t="str">
        <f t="shared" si="0"/>
        <v>OK</v>
      </c>
    </row>
    <row r="18" spans="1:5" ht="13.2" x14ac:dyDescent="0.25">
      <c r="A18" s="118" t="str">
        <f>'t1'!A18</f>
        <v>ALTRI PROF.STI LIV. II DIFF.</v>
      </c>
      <c r="B18" s="92" t="str">
        <f>'t1'!B18</f>
        <v>0D0481</v>
      </c>
      <c r="C18" s="315">
        <f>'t13'!V18</f>
        <v>0</v>
      </c>
      <c r="D18" s="316">
        <f>('t3'!K18+'t3'!L18+'t3'!M18+'t3'!N18+'t3'!O18+'t3'!P18)+('t12'!C18/12)</f>
        <v>0</v>
      </c>
      <c r="E18" s="335" t="str">
        <f t="shared" si="0"/>
        <v>OK</v>
      </c>
    </row>
    <row r="19" spans="1:5" ht="13.2" x14ac:dyDescent="0.25">
      <c r="A19" s="118" t="str">
        <f>'t1'!A19</f>
        <v>ALTRI PROF.STI LIV. I DIFF.</v>
      </c>
      <c r="B19" s="92" t="str">
        <f>'t1'!B19</f>
        <v>0D0480</v>
      </c>
      <c r="C19" s="315">
        <f>'t13'!V19</f>
        <v>0</v>
      </c>
      <c r="D19" s="316">
        <f>('t3'!K19+'t3'!L19+'t3'!M19+'t3'!N19+'t3'!O19+'t3'!P19)+('t12'!C19/12)</f>
        <v>0</v>
      </c>
      <c r="E19" s="335" t="str">
        <f t="shared" si="0"/>
        <v>OK</v>
      </c>
    </row>
    <row r="20" spans="1:5" ht="13.2" x14ac:dyDescent="0.25">
      <c r="A20" s="118" t="str">
        <f>'t1'!A20</f>
        <v>ALTRI PROF.STI</v>
      </c>
      <c r="B20" s="92" t="str">
        <f>'t1'!B20</f>
        <v>0D0075</v>
      </c>
      <c r="C20" s="315">
        <f>'t13'!V20</f>
        <v>0</v>
      </c>
      <c r="D20" s="316">
        <f>('t3'!K20+'t3'!L20+'t3'!M20+'t3'!N20+'t3'!O20+'t3'!P20)+('t12'!C20/12)</f>
        <v>0</v>
      </c>
      <c r="E20" s="335" t="str">
        <f t="shared" si="0"/>
        <v>OK</v>
      </c>
    </row>
    <row r="21" spans="1:5" ht="13.2" x14ac:dyDescent="0.25">
      <c r="A21" s="118" t="str">
        <f>'t1'!A21</f>
        <v>ELEVATE PROFESSIONALITA'</v>
      </c>
      <c r="B21" s="92" t="str">
        <f>'t1'!B21</f>
        <v>0EP981</v>
      </c>
      <c r="C21" s="315">
        <f>'t13'!V21</f>
        <v>0</v>
      </c>
      <c r="D21" s="316">
        <f>('t3'!K21+'t3'!L21+'t3'!M21+'t3'!N21+'t3'!O21+'t3'!P21)+('t12'!C21/12)</f>
        <v>0</v>
      </c>
      <c r="E21" s="335" t="str">
        <f>IF(OR((NOT(C21)),(AND(C21&gt;=0,D21&gt;0))),"OK","ERRORE")</f>
        <v>OK</v>
      </c>
    </row>
    <row r="22" spans="1:5" ht="13.2" x14ac:dyDescent="0.25">
      <c r="A22" s="118" t="str">
        <f>'t1'!A22</f>
        <v>FUNZIONARI</v>
      </c>
      <c r="B22" s="92" t="str">
        <f>'t1'!B22</f>
        <v>0FZ000</v>
      </c>
      <c r="C22" s="315">
        <f>'t13'!V22</f>
        <v>0</v>
      </c>
      <c r="D22" s="316">
        <f>('t3'!K22+'t3'!L22+'t3'!M22+'t3'!N22+'t3'!O22+'t3'!P22)+('t12'!C22/12)</f>
        <v>0</v>
      </c>
      <c r="E22" s="335" t="str">
        <f>IF(OR((NOT(C22)),(AND(C22&gt;=0,D22&gt;0))),"OK","ERRORE")</f>
        <v>OK</v>
      </c>
    </row>
    <row r="23" spans="1:5" ht="13.2" x14ac:dyDescent="0.25">
      <c r="A23" s="118" t="str">
        <f>'t1'!A23</f>
        <v>ASSISTENTI</v>
      </c>
      <c r="B23" s="92" t="str">
        <f>'t1'!B23</f>
        <v>0AS000</v>
      </c>
      <c r="C23" s="315">
        <f>'t13'!V23</f>
        <v>0</v>
      </c>
      <c r="D23" s="316">
        <f>('t3'!K23+'t3'!L23+'t3'!M23+'t3'!N23+'t3'!O23+'t3'!P23)+('t12'!C23/12)</f>
        <v>0</v>
      </c>
      <c r="E23" s="335" t="str">
        <f>IF(OR((NOT(C23)),(AND(C23&gt;=0,D23&gt;0))),"OK","ERRORE")</f>
        <v>OK</v>
      </c>
    </row>
    <row r="24" spans="1:5" ht="13.2" x14ac:dyDescent="0.25">
      <c r="A24" s="118" t="str">
        <f>'t1'!A24</f>
        <v>OPERATORI</v>
      </c>
      <c r="B24" s="92" t="str">
        <f>'t1'!B24</f>
        <v>0OP000</v>
      </c>
      <c r="C24" s="315">
        <f>'t13'!V24</f>
        <v>0</v>
      </c>
      <c r="D24" s="316">
        <f>('t3'!K24+'t3'!L24+'t3'!M24+'t3'!N24+'t3'!O24+'t3'!P24)+('t12'!C24/12)</f>
        <v>0</v>
      </c>
      <c r="E24" s="335" t="str">
        <f>IF(OR((NOT(C24)),(AND(C24&gt;=0,D24&gt;0))),"OK","ERRORE")</f>
        <v>OK</v>
      </c>
    </row>
    <row r="25" spans="1:5" ht="13.2" x14ac:dyDescent="0.25">
      <c r="A25" s="118" t="str">
        <f>'t1'!A25</f>
        <v>CONTRATTISTI</v>
      </c>
      <c r="B25" s="92" t="str">
        <f>'t1'!B25</f>
        <v>000061</v>
      </c>
      <c r="C25" s="315">
        <f>'t13'!V25</f>
        <v>0</v>
      </c>
      <c r="D25" s="316">
        <f>('t3'!K25+'t3'!L25+'t3'!M25+'t3'!N25+'t3'!O25+'t3'!P25)+('t12'!C25/12)</f>
        <v>0</v>
      </c>
      <c r="E25" s="335" t="str">
        <f t="shared" si="0"/>
        <v>OK</v>
      </c>
    </row>
  </sheetData>
  <sheetProtection algorithmName="SHA-512" hashValue="BbrEXfhy463gy8lISTBHOmkOFf21N9rxlAEs7VJsYvh9mee520msxHk/0wkVXyZzcqLrMcqFWn4cjH89ycMn5Q==" saltValue="Vff/fuiY/gbkj5vqDXwz+w==" spinCount="100000" sheet="1" formatColumns="0" selectLockedCells="1" selectUnlockedCells="1"/>
  <mergeCells count="2">
    <mergeCell ref="A1:E1"/>
    <mergeCell ref="C2:E2"/>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85" orientation="landscape" horizontalDpi="0" verticalDpi="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Foglio28"/>
  <dimension ref="A1:N25"/>
  <sheetViews>
    <sheetView showGridLines="0" workbookViewId="0">
      <pane xSplit="2" ySplit="5" topLeftCell="C6" activePane="bottomRight" state="frozen"/>
      <selection activeCell="A2" sqref="A2"/>
      <selection pane="topRight" activeCell="A2" sqref="A2"/>
      <selection pane="bottomLeft" activeCell="A2" sqref="A2"/>
      <selection pane="bottomRight" activeCell="G6" sqref="G6"/>
    </sheetView>
  </sheetViews>
  <sheetFormatPr defaultRowHeight="10.199999999999999" x14ac:dyDescent="0.2"/>
  <cols>
    <col min="1" max="1" width="38.7109375" style="3" customWidth="1"/>
    <col min="2" max="2" width="10" style="2" customWidth="1"/>
    <col min="3" max="8" width="11.7109375" style="2" customWidth="1"/>
    <col min="9" max="9" width="13.7109375" style="2" customWidth="1"/>
    <col min="10" max="11" width="16.7109375" style="2" hidden="1" customWidth="1"/>
    <col min="12" max="12" width="85.7109375" customWidth="1"/>
  </cols>
  <sheetData>
    <row r="1" spans="1:14" s="3" customFormat="1" ht="43.5" customHeight="1" x14ac:dyDescent="0.2">
      <c r="A1" s="1463" t="str">
        <f>'t1'!A1</f>
        <v>ENTI PUBBLICI NON ECONOMICI - anno 2023</v>
      </c>
      <c r="B1" s="1463"/>
      <c r="C1" s="1463"/>
      <c r="D1" s="1463"/>
      <c r="E1" s="1463"/>
      <c r="F1" s="1463"/>
      <c r="G1" s="1463"/>
      <c r="H1" s="1463"/>
      <c r="I1" s="1463"/>
      <c r="J1" s="1463"/>
      <c r="K1" s="1463"/>
      <c r="N1"/>
    </row>
    <row r="2" spans="1:14" s="3" customFormat="1" ht="12.75" customHeight="1" x14ac:dyDescent="0.2">
      <c r="D2" s="1547"/>
      <c r="E2" s="1547"/>
      <c r="F2" s="1547"/>
      <c r="G2" s="1547"/>
      <c r="H2" s="1547"/>
      <c r="I2" s="1547"/>
      <c r="J2" s="1547"/>
      <c r="K2" s="1547"/>
      <c r="N2"/>
    </row>
    <row r="3" spans="1:14" s="3" customFormat="1" ht="21" customHeight="1" x14ac:dyDescent="0.25">
      <c r="A3" s="173" t="s">
        <v>635</v>
      </c>
      <c r="B3" s="2"/>
      <c r="C3" s="2"/>
    </row>
    <row r="4" spans="1:14" ht="51" x14ac:dyDescent="0.2">
      <c r="A4" s="160" t="s">
        <v>218</v>
      </c>
      <c r="B4" s="161" t="s">
        <v>180</v>
      </c>
      <c r="C4" s="161" t="s">
        <v>37</v>
      </c>
      <c r="D4" s="161" t="s">
        <v>38</v>
      </c>
      <c r="E4" s="161" t="s">
        <v>39</v>
      </c>
      <c r="F4" s="161" t="s">
        <v>40</v>
      </c>
      <c r="G4" s="161" t="s">
        <v>41</v>
      </c>
      <c r="H4" s="161" t="s">
        <v>42</v>
      </c>
      <c r="I4" s="161" t="s">
        <v>43</v>
      </c>
      <c r="J4" s="161" t="s">
        <v>44</v>
      </c>
      <c r="K4" s="161" t="s">
        <v>45</v>
      </c>
      <c r="L4" s="516" t="s">
        <v>393</v>
      </c>
    </row>
    <row r="5" spans="1:14" s="176" customFormat="1" ht="51" hidden="1" x14ac:dyDescent="0.2">
      <c r="A5" s="159"/>
      <c r="B5" s="171"/>
      <c r="C5" s="171" t="s">
        <v>182</v>
      </c>
      <c r="D5" s="171" t="s">
        <v>183</v>
      </c>
      <c r="E5" s="171" t="s">
        <v>184</v>
      </c>
      <c r="F5" s="171" t="s">
        <v>185</v>
      </c>
      <c r="G5" s="171" t="s">
        <v>186</v>
      </c>
      <c r="H5" s="171" t="s">
        <v>206</v>
      </c>
      <c r="I5" s="171"/>
      <c r="J5" s="558" t="s">
        <v>406</v>
      </c>
      <c r="K5" s="558" t="s">
        <v>580</v>
      </c>
      <c r="L5" s="560"/>
    </row>
    <row r="6" spans="1:14" ht="13.2" x14ac:dyDescent="0.25">
      <c r="A6" s="118" t="str">
        <f>'t1'!A6</f>
        <v>DIRETTORE GENERALE</v>
      </c>
      <c r="B6" s="92" t="str">
        <f>'t1'!B6</f>
        <v>0D0097</v>
      </c>
      <c r="C6" s="315">
        <f>'t11'!W8+'t11'!X8</f>
        <v>0</v>
      </c>
      <c r="D6" s="315">
        <f>'t1'!K6+'t1'!L6</f>
        <v>0</v>
      </c>
      <c r="E6" s="315">
        <f>'t3'!K6+'t3'!L6+'t3'!M6+'t3'!N6+'t3'!O6+'t3'!P6</f>
        <v>0</v>
      </c>
      <c r="F6" s="315">
        <f>'t4'!W15</f>
        <v>0</v>
      </c>
      <c r="G6" s="313">
        <f>'t4'!$C$35</f>
        <v>0</v>
      </c>
      <c r="H6" s="315">
        <f>'t5'!U7+'t5'!V7</f>
        <v>0</v>
      </c>
      <c r="I6" s="335" t="str">
        <f>IF(AND(J6="OK",K6="OK"),"OK","ERRORE")</f>
        <v>OK</v>
      </c>
      <c r="J6" s="335" t="str">
        <f>IF(AND(C6&gt;0,D6=0,E6=0,F6=0,G6=0,H6=0),"KO","OK")</f>
        <v>OK</v>
      </c>
      <c r="K6" s="335" t="str">
        <f>IF(AND(C6=0,OR(D6&gt;0,E6&gt;0,F6&gt;0,G6&gt;0,H6&gt;0)),"KO","OK")</f>
        <v>OK</v>
      </c>
      <c r="L6" s="561" t="str">
        <f>IF(K6="KO",$K$5,IF(J6="KO",$J$5,""))</f>
        <v/>
      </c>
    </row>
    <row r="7" spans="1:14" ht="13.2" x14ac:dyDescent="0.25">
      <c r="A7" s="118" t="str">
        <f>'t1'!A7</f>
        <v>DIRIGENTE I FASCIA</v>
      </c>
      <c r="B7" s="92" t="str">
        <f>'t1'!B7</f>
        <v>0D0077</v>
      </c>
      <c r="C7" s="315">
        <f>'t11'!W9+'t11'!X9</f>
        <v>0</v>
      </c>
      <c r="D7" s="315">
        <f>'t1'!K7+'t1'!L7</f>
        <v>0</v>
      </c>
      <c r="E7" s="315">
        <f>'t3'!K7+'t3'!L7+'t3'!M7+'t3'!N7+'t3'!O7+'t3'!P7</f>
        <v>0</v>
      </c>
      <c r="F7" s="315">
        <f>'t4'!W16</f>
        <v>0</v>
      </c>
      <c r="G7" s="313">
        <f>'t4'!$D$35</f>
        <v>0</v>
      </c>
      <c r="H7" s="315">
        <f>'t5'!U8+'t5'!V8</f>
        <v>0</v>
      </c>
      <c r="I7" s="335" t="str">
        <f t="shared" ref="I7:I20" si="0">IF(AND(J7="OK",K7="OK"),"OK","ERRORE")</f>
        <v>OK</v>
      </c>
      <c r="J7" s="335" t="str">
        <f>IF(AND(C7&gt;0,D7=0,E7=0,F7=0,G7=0,H7=0),"KO","OK")</f>
        <v>OK</v>
      </c>
      <c r="K7" s="335" t="str">
        <f>IF(AND(C7=0,OR(D7&gt;0,E7&gt;0,F7&gt;0,G7&gt;0,H7&gt;0)),"KO","OK")</f>
        <v>OK</v>
      </c>
      <c r="L7" s="561" t="str">
        <f t="shared" ref="L7:L25" si="1">IF(K7="KO",$K$5,IF(J7="KO",$J$5,""))</f>
        <v/>
      </c>
    </row>
    <row r="8" spans="1:14" ht="13.2" x14ac:dyDescent="0.25">
      <c r="A8" s="118" t="str">
        <f>'t1'!A8</f>
        <v>DIRIGENTE I FASCIA A TEMPO DETERM.</v>
      </c>
      <c r="B8" s="92" t="str">
        <f>'t1'!B8</f>
        <v>0D0078</v>
      </c>
      <c r="C8" s="315">
        <f>'t11'!W10+'t11'!X10</f>
        <v>0</v>
      </c>
      <c r="D8" s="315">
        <f>'t1'!K8+'t1'!L8</f>
        <v>0</v>
      </c>
      <c r="E8" s="315">
        <f>'t3'!K8+'t3'!L8+'t3'!M8+'t3'!N8+'t3'!O8+'t3'!P8</f>
        <v>0</v>
      </c>
      <c r="F8" s="315">
        <f>'t4'!W17</f>
        <v>0</v>
      </c>
      <c r="G8" s="313">
        <f>'t4'!$E$35</f>
        <v>0</v>
      </c>
      <c r="H8" s="315">
        <f>'t5'!U9+'t5'!V9</f>
        <v>0</v>
      </c>
      <c r="I8" s="335" t="str">
        <f t="shared" si="0"/>
        <v>OK</v>
      </c>
      <c r="J8" s="335" t="str">
        <f t="shared" ref="J8:J25" si="2">IF(AND(C8&gt;0,D8=0,E8=0,F8=0,G8=0,H8=0),"KO","OK")</f>
        <v>OK</v>
      </c>
      <c r="K8" s="335" t="str">
        <f t="shared" ref="K8:K25" si="3">IF(AND(C8=0,OR(D8&gt;0,E8&gt;0,F8&gt;0,G8&gt;0,H8&gt;0)),"KO","OK")</f>
        <v>OK</v>
      </c>
      <c r="L8" s="561" t="str">
        <f t="shared" si="1"/>
        <v/>
      </c>
    </row>
    <row r="9" spans="1:14" ht="13.2" x14ac:dyDescent="0.25">
      <c r="A9" s="118" t="str">
        <f>'t1'!A9</f>
        <v>DIRIGENTE II FASCIA</v>
      </c>
      <c r="B9" s="92" t="str">
        <f>'t1'!B9</f>
        <v>0D0079</v>
      </c>
      <c r="C9" s="315">
        <f>'t11'!W11+'t11'!X11</f>
        <v>0</v>
      </c>
      <c r="D9" s="315">
        <f>'t1'!K9+'t1'!L9</f>
        <v>0</v>
      </c>
      <c r="E9" s="315">
        <f>'t3'!K9+'t3'!L9+'t3'!M9+'t3'!N9+'t3'!O9+'t3'!P9</f>
        <v>0</v>
      </c>
      <c r="F9" s="315">
        <f>'t4'!W18</f>
        <v>0</v>
      </c>
      <c r="G9" s="313">
        <f>'t4'!$F$35</f>
        <v>0</v>
      </c>
      <c r="H9" s="315">
        <f>'t5'!U10+'t5'!V10</f>
        <v>0</v>
      </c>
      <c r="I9" s="335" t="str">
        <f t="shared" si="0"/>
        <v>OK</v>
      </c>
      <c r="J9" s="335" t="str">
        <f t="shared" si="2"/>
        <v>OK</v>
      </c>
      <c r="K9" s="335" t="str">
        <f t="shared" si="3"/>
        <v>OK</v>
      </c>
      <c r="L9" s="561" t="str">
        <f t="shared" si="1"/>
        <v/>
      </c>
    </row>
    <row r="10" spans="1:14" ht="13.2" x14ac:dyDescent="0.25">
      <c r="A10" s="118" t="str">
        <f>'t1'!A10</f>
        <v>DIRIGENTE II FASCIA A TEMPO DETERM.</v>
      </c>
      <c r="B10" s="92" t="str">
        <f>'t1'!B10</f>
        <v>0D0080</v>
      </c>
      <c r="C10" s="315">
        <f>'t11'!W12+'t11'!X12</f>
        <v>0</v>
      </c>
      <c r="D10" s="315">
        <f>'t1'!K10+'t1'!L10</f>
        <v>0</v>
      </c>
      <c r="E10" s="315">
        <f>'t3'!K10+'t3'!L10+'t3'!M10+'t3'!N10+'t3'!O10+'t3'!P10</f>
        <v>0</v>
      </c>
      <c r="F10" s="315">
        <f>'t4'!W19</f>
        <v>0</v>
      </c>
      <c r="G10" s="313">
        <f>'t4'!$G$35</f>
        <v>0</v>
      </c>
      <c r="H10" s="315">
        <f>'t5'!U11+'t5'!V11</f>
        <v>0</v>
      </c>
      <c r="I10" s="335" t="str">
        <f t="shared" si="0"/>
        <v>OK</v>
      </c>
      <c r="J10" s="335" t="str">
        <f t="shared" si="2"/>
        <v>OK</v>
      </c>
      <c r="K10" s="335" t="str">
        <f t="shared" si="3"/>
        <v>OK</v>
      </c>
      <c r="L10" s="561" t="str">
        <f t="shared" si="1"/>
        <v/>
      </c>
    </row>
    <row r="11" spans="1:14" ht="13.2" x14ac:dyDescent="0.25">
      <c r="A11" s="118" t="str">
        <f>'t1'!A11</f>
        <v>MEDICO II FASCIA T.P.</v>
      </c>
      <c r="B11" s="92" t="str">
        <f>'t1'!B11</f>
        <v>0D0584</v>
      </c>
      <c r="C11" s="315">
        <f>'t11'!W13+'t11'!X13</f>
        <v>0</v>
      </c>
      <c r="D11" s="315">
        <f>'t1'!K11+'t1'!L11</f>
        <v>0</v>
      </c>
      <c r="E11" s="315">
        <f>'t3'!K11+'t3'!L11+'t3'!M11+'t3'!N11+'t3'!O11+'t3'!P11</f>
        <v>0</v>
      </c>
      <c r="F11" s="315">
        <f>'t4'!W20</f>
        <v>0</v>
      </c>
      <c r="G11" s="313">
        <f>'t4'!$H$35</f>
        <v>0</v>
      </c>
      <c r="H11" s="315">
        <f>'t5'!U12+'t5'!V12</f>
        <v>0</v>
      </c>
      <c r="I11" s="335" t="str">
        <f t="shared" si="0"/>
        <v>OK</v>
      </c>
      <c r="J11" s="335" t="str">
        <f t="shared" si="2"/>
        <v>OK</v>
      </c>
      <c r="K11" s="335" t="str">
        <f t="shared" si="3"/>
        <v>OK</v>
      </c>
      <c r="L11" s="561" t="str">
        <f t="shared" si="1"/>
        <v/>
      </c>
    </row>
    <row r="12" spans="1:14" ht="13.2" x14ac:dyDescent="0.25">
      <c r="A12" s="118" t="str">
        <f>'t1'!A12</f>
        <v>MEDICO I FASCIA T.P.</v>
      </c>
      <c r="B12" s="92" t="str">
        <f>'t1'!B12</f>
        <v>0D0585</v>
      </c>
      <c r="C12" s="315">
        <f>'t11'!W14+'t11'!X14</f>
        <v>0</v>
      </c>
      <c r="D12" s="315">
        <f>'t1'!K12+'t1'!L12</f>
        <v>0</v>
      </c>
      <c r="E12" s="315">
        <f>'t3'!K12+'t3'!L12+'t3'!M12+'t3'!N12+'t3'!O12+'t3'!P12</f>
        <v>0</v>
      </c>
      <c r="F12" s="315">
        <f>'t4'!W21</f>
        <v>0</v>
      </c>
      <c r="G12" s="313">
        <f>'t4'!$I$35</f>
        <v>0</v>
      </c>
      <c r="H12" s="315">
        <f>'t5'!U13+'t5'!V13</f>
        <v>0</v>
      </c>
      <c r="I12" s="335" t="str">
        <f t="shared" si="0"/>
        <v>OK</v>
      </c>
      <c r="J12" s="335" t="str">
        <f t="shared" si="2"/>
        <v>OK</v>
      </c>
      <c r="K12" s="335" t="str">
        <f t="shared" si="3"/>
        <v>OK</v>
      </c>
      <c r="L12" s="561" t="str">
        <f t="shared" si="1"/>
        <v/>
      </c>
    </row>
    <row r="13" spans="1:14" ht="13.2" x14ac:dyDescent="0.25">
      <c r="A13" s="118" t="str">
        <f>'t1'!A13</f>
        <v>MEDICO II FASCIA T.D.</v>
      </c>
      <c r="B13" s="92" t="str">
        <f>'t1'!B13</f>
        <v>0D0586</v>
      </c>
      <c r="C13" s="315">
        <f>'t11'!W15+'t11'!X15</f>
        <v>0</v>
      </c>
      <c r="D13" s="315">
        <f>'t1'!K13+'t1'!L13</f>
        <v>0</v>
      </c>
      <c r="E13" s="315">
        <f>'t3'!K13+'t3'!L13+'t3'!M13+'t3'!N13+'t3'!O13+'t3'!P13</f>
        <v>0</v>
      </c>
      <c r="F13" s="315">
        <f>'t4'!W22</f>
        <v>0</v>
      </c>
      <c r="G13" s="313">
        <f>'t4'!$J$35</f>
        <v>0</v>
      </c>
      <c r="H13" s="315">
        <f>'t5'!U14+'t5'!V14</f>
        <v>0</v>
      </c>
      <c r="I13" s="335" t="str">
        <f t="shared" si="0"/>
        <v>OK</v>
      </c>
      <c r="J13" s="335" t="str">
        <f t="shared" si="2"/>
        <v>OK</v>
      </c>
      <c r="K13" s="335" t="str">
        <f t="shared" si="3"/>
        <v>OK</v>
      </c>
      <c r="L13" s="561" t="str">
        <f t="shared" si="1"/>
        <v/>
      </c>
    </row>
    <row r="14" spans="1:14" ht="13.2" x14ac:dyDescent="0.25">
      <c r="A14" s="118" t="str">
        <f>'t1'!A14</f>
        <v>MEDICO I FASCIA T.D.</v>
      </c>
      <c r="B14" s="92" t="str">
        <f>'t1'!B14</f>
        <v>0D0496</v>
      </c>
      <c r="C14" s="315">
        <f>'t11'!W16+'t11'!X16</f>
        <v>0</v>
      </c>
      <c r="D14" s="315">
        <f>'t1'!K14+'t1'!L14</f>
        <v>0</v>
      </c>
      <c r="E14" s="315">
        <f>'t3'!K14+'t3'!L14+'t3'!M14+'t3'!N14+'t3'!O14+'t3'!P14</f>
        <v>0</v>
      </c>
      <c r="F14" s="315">
        <f>'t4'!W23</f>
        <v>0</v>
      </c>
      <c r="G14" s="313">
        <f>'t4'!$K$35</f>
        <v>0</v>
      </c>
      <c r="H14" s="315">
        <f>'t5'!U15+'t5'!V15</f>
        <v>0</v>
      </c>
      <c r="I14" s="335" t="str">
        <f t="shared" si="0"/>
        <v>OK</v>
      </c>
      <c r="J14" s="335" t="str">
        <f t="shared" si="2"/>
        <v>OK</v>
      </c>
      <c r="K14" s="335" t="str">
        <f t="shared" si="3"/>
        <v>OK</v>
      </c>
      <c r="L14" s="561" t="str">
        <f t="shared" si="1"/>
        <v/>
      </c>
    </row>
    <row r="15" spans="1:14" ht="13.2" x14ac:dyDescent="0.25">
      <c r="A15" s="118" t="str">
        <f>'t1'!A15</f>
        <v>PROF.STI LEGALI LIV. II DIFF.</v>
      </c>
      <c r="B15" s="92" t="str">
        <f>'t1'!B15</f>
        <v>0D0473</v>
      </c>
      <c r="C15" s="315">
        <f>'t11'!W17+'t11'!X17</f>
        <v>0</v>
      </c>
      <c r="D15" s="315">
        <f>'t1'!K15+'t1'!L15</f>
        <v>0</v>
      </c>
      <c r="E15" s="315">
        <f>'t3'!K15+'t3'!L15+'t3'!M15+'t3'!N15+'t3'!O15+'t3'!P15</f>
        <v>0</v>
      </c>
      <c r="F15" s="315">
        <f>'t4'!W24</f>
        <v>0</v>
      </c>
      <c r="G15" s="313">
        <f>'t4'!$L$35</f>
        <v>0</v>
      </c>
      <c r="H15" s="315">
        <f>'t5'!U16+'t5'!V16</f>
        <v>0</v>
      </c>
      <c r="I15" s="335" t="str">
        <f t="shared" si="0"/>
        <v>OK</v>
      </c>
      <c r="J15" s="335" t="str">
        <f t="shared" si="2"/>
        <v>OK</v>
      </c>
      <c r="K15" s="335" t="str">
        <f t="shared" si="3"/>
        <v>OK</v>
      </c>
      <c r="L15" s="561" t="str">
        <f t="shared" si="1"/>
        <v/>
      </c>
    </row>
    <row r="16" spans="1:14" ht="13.2" x14ac:dyDescent="0.25">
      <c r="A16" s="118" t="str">
        <f>'t1'!A16</f>
        <v>PROF.STI LEGALI LIV. I DIFF.</v>
      </c>
      <c r="B16" s="92" t="str">
        <f>'t1'!B16</f>
        <v>0D0472</v>
      </c>
      <c r="C16" s="315">
        <f>'t11'!W18+'t11'!X18</f>
        <v>0</v>
      </c>
      <c r="D16" s="315">
        <f>'t1'!K16+'t1'!L16</f>
        <v>0</v>
      </c>
      <c r="E16" s="315">
        <f>'t3'!K16+'t3'!L16+'t3'!M16+'t3'!N16+'t3'!O16+'t3'!P16</f>
        <v>0</v>
      </c>
      <c r="F16" s="315">
        <f>'t4'!W25</f>
        <v>0</v>
      </c>
      <c r="G16" s="313">
        <f>'t4'!$M$35</f>
        <v>0</v>
      </c>
      <c r="H16" s="315">
        <f>'t5'!U17+'t5'!V17</f>
        <v>0</v>
      </c>
      <c r="I16" s="335" t="str">
        <f t="shared" si="0"/>
        <v>OK</v>
      </c>
      <c r="J16" s="335" t="str">
        <f t="shared" si="2"/>
        <v>OK</v>
      </c>
      <c r="K16" s="335" t="str">
        <f t="shared" si="3"/>
        <v>OK</v>
      </c>
      <c r="L16" s="561" t="str">
        <f t="shared" si="1"/>
        <v/>
      </c>
    </row>
    <row r="17" spans="1:12" ht="13.2" x14ac:dyDescent="0.25">
      <c r="A17" s="118" t="str">
        <f>'t1'!A17</f>
        <v>PROF.STI LEGALI</v>
      </c>
      <c r="B17" s="92" t="str">
        <f>'t1'!B17</f>
        <v>0D0084</v>
      </c>
      <c r="C17" s="315">
        <f>'t11'!W19+'t11'!X19</f>
        <v>0</v>
      </c>
      <c r="D17" s="315">
        <f>'t1'!K17+'t1'!L17</f>
        <v>0</v>
      </c>
      <c r="E17" s="315">
        <f>'t3'!K17+'t3'!L17+'t3'!M17+'t3'!N17+'t3'!O17+'t3'!P17</f>
        <v>0</v>
      </c>
      <c r="F17" s="315">
        <f>'t4'!W26</f>
        <v>0</v>
      </c>
      <c r="G17" s="313">
        <f>'t4'!$N$35</f>
        <v>0</v>
      </c>
      <c r="H17" s="315">
        <f>'t5'!U18+'t5'!V18</f>
        <v>0</v>
      </c>
      <c r="I17" s="335" t="str">
        <f t="shared" si="0"/>
        <v>OK</v>
      </c>
      <c r="J17" s="335" t="str">
        <f t="shared" si="2"/>
        <v>OK</v>
      </c>
      <c r="K17" s="335" t="str">
        <f t="shared" si="3"/>
        <v>OK</v>
      </c>
      <c r="L17" s="561" t="str">
        <f t="shared" si="1"/>
        <v/>
      </c>
    </row>
    <row r="18" spans="1:12" ht="13.2" x14ac:dyDescent="0.25">
      <c r="A18" s="118" t="str">
        <f>'t1'!A18</f>
        <v>ALTRI PROF.STI LIV. II DIFF.</v>
      </c>
      <c r="B18" s="92" t="str">
        <f>'t1'!B18</f>
        <v>0D0481</v>
      </c>
      <c r="C18" s="315">
        <f>'t11'!W20+'t11'!X20</f>
        <v>0</v>
      </c>
      <c r="D18" s="315">
        <f>'t1'!K18+'t1'!L18</f>
        <v>0</v>
      </c>
      <c r="E18" s="315">
        <f>'t3'!K18+'t3'!L18+'t3'!M18+'t3'!N18+'t3'!O18+'t3'!P18</f>
        <v>0</v>
      </c>
      <c r="F18" s="315">
        <f>'t4'!W27</f>
        <v>0</v>
      </c>
      <c r="G18" s="313">
        <f>'t4'!$O$35</f>
        <v>0</v>
      </c>
      <c r="H18" s="315">
        <f>'t5'!U19+'t5'!V19</f>
        <v>0</v>
      </c>
      <c r="I18" s="335" t="str">
        <f t="shared" si="0"/>
        <v>OK</v>
      </c>
      <c r="J18" s="335" t="str">
        <f t="shared" si="2"/>
        <v>OK</v>
      </c>
      <c r="K18" s="335" t="str">
        <f t="shared" si="3"/>
        <v>OK</v>
      </c>
      <c r="L18" s="561" t="str">
        <f t="shared" si="1"/>
        <v/>
      </c>
    </row>
    <row r="19" spans="1:12" ht="13.2" x14ac:dyDescent="0.25">
      <c r="A19" s="118" t="str">
        <f>'t1'!A19</f>
        <v>ALTRI PROF.STI LIV. I DIFF.</v>
      </c>
      <c r="B19" s="92" t="str">
        <f>'t1'!B19</f>
        <v>0D0480</v>
      </c>
      <c r="C19" s="315">
        <f>'t11'!W21+'t11'!X21</f>
        <v>0</v>
      </c>
      <c r="D19" s="315">
        <f>'t1'!K19+'t1'!L19</f>
        <v>0</v>
      </c>
      <c r="E19" s="315">
        <f>'t3'!K19+'t3'!L19+'t3'!M19+'t3'!N19+'t3'!O19+'t3'!P19</f>
        <v>0</v>
      </c>
      <c r="F19" s="315">
        <f>'t4'!W28</f>
        <v>0</v>
      </c>
      <c r="G19" s="313">
        <f>'t4'!$P$35</f>
        <v>0</v>
      </c>
      <c r="H19" s="315">
        <f>'t5'!U20+'t5'!V20</f>
        <v>0</v>
      </c>
      <c r="I19" s="335" t="str">
        <f t="shared" si="0"/>
        <v>OK</v>
      </c>
      <c r="J19" s="335" t="str">
        <f t="shared" si="2"/>
        <v>OK</v>
      </c>
      <c r="K19" s="335" t="str">
        <f t="shared" si="3"/>
        <v>OK</v>
      </c>
      <c r="L19" s="561" t="str">
        <f t="shared" si="1"/>
        <v/>
      </c>
    </row>
    <row r="20" spans="1:12" ht="13.2" x14ac:dyDescent="0.25">
      <c r="A20" s="118" t="str">
        <f>'t1'!A20</f>
        <v>ALTRI PROF.STI</v>
      </c>
      <c r="B20" s="92" t="str">
        <f>'t1'!B20</f>
        <v>0D0075</v>
      </c>
      <c r="C20" s="315">
        <f>'t11'!W22+'t11'!X22</f>
        <v>0</v>
      </c>
      <c r="D20" s="315">
        <f>'t1'!K20+'t1'!L20</f>
        <v>0</v>
      </c>
      <c r="E20" s="315">
        <f>'t3'!K20+'t3'!L20+'t3'!M20+'t3'!N20+'t3'!O20+'t3'!P20</f>
        <v>0</v>
      </c>
      <c r="F20" s="315">
        <f>'t4'!W29</f>
        <v>0</v>
      </c>
      <c r="G20" s="313">
        <f>'t4'!$Q$35</f>
        <v>0</v>
      </c>
      <c r="H20" s="315">
        <f>'t5'!U21+'t5'!V21</f>
        <v>0</v>
      </c>
      <c r="I20" s="335" t="str">
        <f t="shared" si="0"/>
        <v>OK</v>
      </c>
      <c r="J20" s="335" t="str">
        <f t="shared" si="2"/>
        <v>OK</v>
      </c>
      <c r="K20" s="335" t="str">
        <f t="shared" si="3"/>
        <v>OK</v>
      </c>
      <c r="L20" s="561" t="str">
        <f t="shared" si="1"/>
        <v/>
      </c>
    </row>
    <row r="21" spans="1:12" ht="13.2" x14ac:dyDescent="0.25">
      <c r="A21" s="118" t="str">
        <f>'t1'!A21</f>
        <v>ELEVATE PROFESSIONALITA'</v>
      </c>
      <c r="B21" s="92" t="str">
        <f>'t1'!B21</f>
        <v>0EP981</v>
      </c>
      <c r="C21" s="315">
        <f>'t11'!W23+'t11'!X23</f>
        <v>0</v>
      </c>
      <c r="D21" s="315">
        <f>'t1'!K21+'t1'!L21</f>
        <v>0</v>
      </c>
      <c r="E21" s="315">
        <f>'t3'!K21+'t3'!L21+'t3'!M21+'t3'!N21+'t3'!O21+'t3'!P21</f>
        <v>0</v>
      </c>
      <c r="F21" s="315">
        <f>'t4'!W30</f>
        <v>0</v>
      </c>
      <c r="G21" s="313">
        <f>'t4'!$R$35</f>
        <v>0</v>
      </c>
      <c r="H21" s="315">
        <f>'t5'!U22+'t5'!V22</f>
        <v>0</v>
      </c>
      <c r="I21" s="335" t="str">
        <f>IF(AND(J21="OK",K21="OK"),"OK","ERRORE")</f>
        <v>OK</v>
      </c>
      <c r="J21" s="335" t="str">
        <f t="shared" si="2"/>
        <v>OK</v>
      </c>
      <c r="K21" s="335" t="str">
        <f t="shared" si="3"/>
        <v>OK</v>
      </c>
      <c r="L21" s="561" t="str">
        <f>IF(K21="KO",$K$5,IF(J21="KO",$J$5,""))</f>
        <v/>
      </c>
    </row>
    <row r="22" spans="1:12" ht="13.2" x14ac:dyDescent="0.25">
      <c r="A22" s="118" t="str">
        <f>'t1'!A22</f>
        <v>FUNZIONARI</v>
      </c>
      <c r="B22" s="92" t="str">
        <f>'t1'!B22</f>
        <v>0FZ000</v>
      </c>
      <c r="C22" s="315">
        <f>'t11'!W24+'t11'!X24</f>
        <v>0</v>
      </c>
      <c r="D22" s="315">
        <f>'t1'!K22+'t1'!L22</f>
        <v>0</v>
      </c>
      <c r="E22" s="315">
        <f>'t3'!K22+'t3'!L22+'t3'!M22+'t3'!N22+'t3'!O22+'t3'!P22</f>
        <v>0</v>
      </c>
      <c r="F22" s="315">
        <f>'t4'!W31</f>
        <v>0</v>
      </c>
      <c r="G22" s="313">
        <f>'t4'!$S$35</f>
        <v>0</v>
      </c>
      <c r="H22" s="315">
        <f>'t5'!U23+'t5'!V23</f>
        <v>0</v>
      </c>
      <c r="I22" s="335" t="str">
        <f>IF(AND(J22="OK",K22="OK"),"OK","ERRORE")</f>
        <v>OK</v>
      </c>
      <c r="J22" s="335" t="str">
        <f t="shared" si="2"/>
        <v>OK</v>
      </c>
      <c r="K22" s="335" t="str">
        <f t="shared" si="3"/>
        <v>OK</v>
      </c>
      <c r="L22" s="561" t="str">
        <f>IF(K22="KO",$K$5,IF(J22="KO",$J$5,""))</f>
        <v/>
      </c>
    </row>
    <row r="23" spans="1:12" ht="13.2" x14ac:dyDescent="0.25">
      <c r="A23" s="118" t="str">
        <f>'t1'!A23</f>
        <v>ASSISTENTI</v>
      </c>
      <c r="B23" s="92" t="str">
        <f>'t1'!B23</f>
        <v>0AS000</v>
      </c>
      <c r="C23" s="315">
        <f>'t11'!W25+'t11'!X25</f>
        <v>0</v>
      </c>
      <c r="D23" s="315">
        <f>'t1'!K23+'t1'!L23</f>
        <v>0</v>
      </c>
      <c r="E23" s="315">
        <f>'t3'!K23+'t3'!L23+'t3'!M23+'t3'!N23+'t3'!O23+'t3'!P23</f>
        <v>0</v>
      </c>
      <c r="F23" s="315">
        <f>'t4'!W32</f>
        <v>0</v>
      </c>
      <c r="G23" s="313">
        <f>'t4'!$T$35</f>
        <v>0</v>
      </c>
      <c r="H23" s="315">
        <f>'t5'!U24+'t5'!V24</f>
        <v>0</v>
      </c>
      <c r="I23" s="335" t="str">
        <f>IF(AND(J23="OK",K23="OK"),"OK","ERRORE")</f>
        <v>OK</v>
      </c>
      <c r="J23" s="335" t="str">
        <f t="shared" si="2"/>
        <v>OK</v>
      </c>
      <c r="K23" s="335" t="str">
        <f t="shared" si="3"/>
        <v>OK</v>
      </c>
      <c r="L23" s="561" t="str">
        <f>IF(K23="KO",$K$5,IF(J23="KO",$J$5,""))</f>
        <v/>
      </c>
    </row>
    <row r="24" spans="1:12" ht="13.2" x14ac:dyDescent="0.25">
      <c r="A24" s="118" t="str">
        <f>'t1'!A24</f>
        <v>OPERATORI</v>
      </c>
      <c r="B24" s="92" t="str">
        <f>'t1'!B24</f>
        <v>0OP000</v>
      </c>
      <c r="C24" s="315">
        <f>'t11'!W26+'t11'!X26</f>
        <v>0</v>
      </c>
      <c r="D24" s="315">
        <f>'t1'!K24+'t1'!L24</f>
        <v>0</v>
      </c>
      <c r="E24" s="315">
        <f>'t3'!K24+'t3'!L24+'t3'!M24+'t3'!N24+'t3'!O24+'t3'!P24</f>
        <v>0</v>
      </c>
      <c r="F24" s="315">
        <f>'t4'!W33</f>
        <v>0</v>
      </c>
      <c r="G24" s="313">
        <f>'t4'!$U$35</f>
        <v>0</v>
      </c>
      <c r="H24" s="315">
        <f>'t5'!U25+'t5'!V25</f>
        <v>0</v>
      </c>
      <c r="I24" s="335" t="str">
        <f>IF(AND(J24="OK",K24="OK"),"OK","ERRORE")</f>
        <v>OK</v>
      </c>
      <c r="J24" s="335" t="str">
        <f t="shared" si="2"/>
        <v>OK</v>
      </c>
      <c r="K24" s="335" t="str">
        <f t="shared" si="3"/>
        <v>OK</v>
      </c>
      <c r="L24" s="561" t="str">
        <f>IF(K24="KO",$K$5,IF(J24="KO",$J$5,""))</f>
        <v/>
      </c>
    </row>
    <row r="25" spans="1:12" ht="13.2" x14ac:dyDescent="0.25">
      <c r="A25" s="118" t="str">
        <f>'t1'!A25</f>
        <v>CONTRATTISTI</v>
      </c>
      <c r="B25" s="92" t="str">
        <f>'t1'!B25</f>
        <v>000061</v>
      </c>
      <c r="C25" s="315">
        <f>'t11'!W27+'t11'!X27</f>
        <v>0</v>
      </c>
      <c r="D25" s="315">
        <f>'t1'!K25+'t1'!L25</f>
        <v>0</v>
      </c>
      <c r="E25" s="315">
        <f>'t3'!K25+'t3'!L25+'t3'!M25+'t3'!N25+'t3'!O25+'t3'!P25</f>
        <v>0</v>
      </c>
      <c r="F25" s="315">
        <f>'t4'!W34</f>
        <v>0</v>
      </c>
      <c r="G25" s="313">
        <f>'t4'!$V$35</f>
        <v>0</v>
      </c>
      <c r="H25" s="315">
        <f>'t5'!U26+'t5'!V26</f>
        <v>0</v>
      </c>
      <c r="I25" s="335" t="str">
        <f>IF(AND(J25="OK",K25="OK"),"OK","ERRORE")</f>
        <v>OK</v>
      </c>
      <c r="J25" s="335" t="str">
        <f t="shared" si="2"/>
        <v>OK</v>
      </c>
      <c r="K25" s="335" t="str">
        <f t="shared" si="3"/>
        <v>OK</v>
      </c>
      <c r="L25" s="561" t="str">
        <f t="shared" si="1"/>
        <v/>
      </c>
    </row>
  </sheetData>
  <sheetProtection algorithmName="SHA-512" hashValue="LdA/NKLi7y/3v6Jo1UEfcdCZZikOqSXk6Dr5OIs1urUaAYgMBGCB/AXmnGYSC/vdIsdR1/XDiOBVYQLIVg69Lw==" saltValue="6eiY00Ll9m/AvE7F1eym3g==" spinCount="100000" sheet="1" formatColumns="0" selectLockedCells="1" selectUnlockedCells="1"/>
  <mergeCells count="2">
    <mergeCell ref="A1:K1"/>
    <mergeCell ref="D2:K2"/>
  </mergeCells>
  <phoneticPr fontId="30" type="noConversion"/>
  <conditionalFormatting sqref="I6:I25">
    <cfRule type="notContainsText" dxfId="3" priority="1" stopIfTrue="1" operator="notContains" text="ok">
      <formula>ISERROR(SEARCH("ok",I6))</formula>
    </cfRule>
  </conditionalFormatting>
  <printOptions horizontalCentered="1"/>
  <pageMargins left="0.19685039370078741" right="0.19685039370078741" top="0.19685039370078741" bottom="0.15748031496062992" header="0.15748031496062992" footer="0.15748031496062992"/>
  <pageSetup paperSize="9" scale="75" orientation="landscape" horizontalDpi="0" verticalDpi="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Foglio33"/>
  <dimension ref="A1:M25"/>
  <sheetViews>
    <sheetView showGridLines="0" workbookViewId="0">
      <pane xSplit="2" ySplit="5" topLeftCell="C6" activePane="bottomRight" state="frozen"/>
      <selection pane="topRight" activeCell="C1" sqref="C1"/>
      <selection pane="bottomLeft" activeCell="A6" sqref="A6"/>
      <selection pane="bottomRight" activeCell="B5" sqref="B5"/>
    </sheetView>
  </sheetViews>
  <sheetFormatPr defaultRowHeight="10.199999999999999" x14ac:dyDescent="0.2"/>
  <cols>
    <col min="1" max="1" width="38.7109375" style="3" customWidth="1"/>
    <col min="2" max="2" width="10" style="2" customWidth="1"/>
    <col min="3" max="4" width="17.7109375" style="2" customWidth="1"/>
    <col min="5" max="5" width="16.28515625" style="2" customWidth="1"/>
    <col min="6" max="6" width="15.7109375" style="95" customWidth="1"/>
    <col min="7" max="7" width="18.28515625" style="95" customWidth="1"/>
    <col min="8" max="8" width="16.28515625" style="2" customWidth="1"/>
    <col min="9" max="9" width="15.7109375" style="95" customWidth="1"/>
    <col min="10" max="10" width="18.28515625" style="2" customWidth="1"/>
  </cols>
  <sheetData>
    <row r="1" spans="1:13" s="3" customFormat="1" ht="43.5" customHeight="1" x14ac:dyDescent="0.2">
      <c r="A1" s="1463" t="str">
        <f>'t1'!A1</f>
        <v>ENTI PUBBLICI NON ECONOMICI - anno 2023</v>
      </c>
      <c r="B1" s="1463"/>
      <c r="C1" s="1463"/>
      <c r="D1" s="1463"/>
      <c r="E1" s="1463"/>
      <c r="F1" s="1463"/>
      <c r="G1" s="1463"/>
      <c r="H1" s="1463"/>
      <c r="I1" s="1463"/>
      <c r="J1" s="1463"/>
      <c r="M1"/>
    </row>
    <row r="2" spans="1:13" s="3" customFormat="1" ht="12.75" customHeight="1" x14ac:dyDescent="0.2">
      <c r="D2" s="1547"/>
      <c r="E2" s="1547"/>
      <c r="F2" s="1547"/>
      <c r="G2" s="1547"/>
      <c r="H2" s="1547"/>
      <c r="I2" s="1547"/>
      <c r="J2" s="1547"/>
      <c r="M2"/>
    </row>
    <row r="3" spans="1:13" s="3" customFormat="1" ht="21" customHeight="1" x14ac:dyDescent="0.25">
      <c r="A3" s="173" t="s">
        <v>387</v>
      </c>
      <c r="B3" s="2"/>
      <c r="C3" s="2"/>
    </row>
    <row r="4" spans="1:13" ht="30.6" x14ac:dyDescent="0.2">
      <c r="A4" s="160" t="s">
        <v>218</v>
      </c>
      <c r="B4" s="161" t="s">
        <v>180</v>
      </c>
      <c r="C4" s="516" t="s">
        <v>278</v>
      </c>
      <c r="D4" s="161" t="s">
        <v>285</v>
      </c>
      <c r="E4" s="516" t="s">
        <v>380</v>
      </c>
      <c r="F4" s="516" t="s">
        <v>386</v>
      </c>
      <c r="G4" s="161" t="s">
        <v>330</v>
      </c>
      <c r="H4" s="516" t="s">
        <v>381</v>
      </c>
      <c r="I4" s="516" t="s">
        <v>386</v>
      </c>
      <c r="J4" s="516" t="s">
        <v>382</v>
      </c>
    </row>
    <row r="5" spans="1:13" s="176" customFormat="1" x14ac:dyDescent="0.2">
      <c r="A5" s="159"/>
      <c r="B5" s="171"/>
      <c r="C5" s="171" t="s">
        <v>182</v>
      </c>
      <c r="D5" s="171" t="s">
        <v>183</v>
      </c>
      <c r="E5" s="171" t="s">
        <v>378</v>
      </c>
      <c r="F5" s="171" t="s">
        <v>384</v>
      </c>
      <c r="G5" s="171" t="s">
        <v>186</v>
      </c>
      <c r="H5" s="171" t="s">
        <v>379</v>
      </c>
      <c r="I5" s="171" t="s">
        <v>385</v>
      </c>
      <c r="J5" s="171"/>
    </row>
    <row r="6" spans="1:13" ht="13.2" x14ac:dyDescent="0.25">
      <c r="A6" s="118" t="str">
        <f>'t1'!A6</f>
        <v>DIRETTORE GENERALE</v>
      </c>
      <c r="B6" s="92" t="str">
        <f>'t1'!B6</f>
        <v>0D0097</v>
      </c>
      <c r="C6" s="315">
        <f>'t13'!V6</f>
        <v>0</v>
      </c>
      <c r="D6" s="315">
        <f>'t13'!S6</f>
        <v>0</v>
      </c>
      <c r="E6" s="317" t="str">
        <f>IF($C6=0," ",IF(D6=0," ",D6/$C6))</f>
        <v xml:space="preserve"> </v>
      </c>
      <c r="F6" s="296" t="str">
        <f>IF($C6=0," ",IF(D6=0," ",IF(E6&gt;0.2,"ERRORE","OK")))</f>
        <v xml:space="preserve"> </v>
      </c>
      <c r="G6" s="315">
        <f>'t13'!T6</f>
        <v>0</v>
      </c>
      <c r="H6" s="317" t="str">
        <f>IF($C6=0," ",IF(G6=0," ",G6/$C6))</f>
        <v xml:space="preserve"> </v>
      </c>
      <c r="I6" s="296" t="str">
        <f>IF($C6=0," ",IF(G6=0," ",IF(H6&gt;0.2,"ERRORE","OK")))</f>
        <v xml:space="preserve"> </v>
      </c>
      <c r="J6" s="335" t="str">
        <f>IF(OR(F6="ERRORE",I6="ERRORE"),"ERRORE","OK")</f>
        <v>OK</v>
      </c>
    </row>
    <row r="7" spans="1:13" ht="13.2" x14ac:dyDescent="0.25">
      <c r="A7" s="118" t="str">
        <f>'t1'!A7</f>
        <v>DIRIGENTE I FASCIA</v>
      </c>
      <c r="B7" s="92" t="str">
        <f>'t1'!B7</f>
        <v>0D0077</v>
      </c>
      <c r="C7" s="315">
        <f>'t13'!V7</f>
        <v>0</v>
      </c>
      <c r="D7" s="315">
        <f>'t13'!S7</f>
        <v>0</v>
      </c>
      <c r="E7" s="317" t="str">
        <f t="shared" ref="E7:E20" si="0">IF($C7=0," ",IF(D7=0," ",D7/$C7))</f>
        <v xml:space="preserve"> </v>
      </c>
      <c r="F7" s="296" t="str">
        <f t="shared" ref="F7:F20" si="1">IF($C7=0," ",IF(D7=0," ",IF(E7&gt;0.2,"ERRORE","OK")))</f>
        <v xml:space="preserve"> </v>
      </c>
      <c r="G7" s="315">
        <f>'t13'!T7</f>
        <v>0</v>
      </c>
      <c r="H7" s="317" t="str">
        <f t="shared" ref="H7:H20" si="2">IF($C7=0," ",IF(G7=0," ",G7/$C7))</f>
        <v xml:space="preserve"> </v>
      </c>
      <c r="I7" s="296" t="str">
        <f t="shared" ref="I7:I20" si="3">IF($C7=0," ",IF(G7=0," ",IF(H7&gt;0.2,"ERRORE","OK")))</f>
        <v xml:space="preserve"> </v>
      </c>
      <c r="J7" s="335" t="str">
        <f t="shared" ref="J7:J20" si="4">IF(OR(F7="ERRORE",I7="ERRORE"),"ERRORE","OK")</f>
        <v>OK</v>
      </c>
    </row>
    <row r="8" spans="1:13" ht="13.2" x14ac:dyDescent="0.25">
      <c r="A8" s="118" t="str">
        <f>'t1'!A8</f>
        <v>DIRIGENTE I FASCIA A TEMPO DETERM.</v>
      </c>
      <c r="B8" s="92" t="str">
        <f>'t1'!B8</f>
        <v>0D0078</v>
      </c>
      <c r="C8" s="315">
        <f>'t13'!V8</f>
        <v>0</v>
      </c>
      <c r="D8" s="315">
        <f>'t13'!S8</f>
        <v>0</v>
      </c>
      <c r="E8" s="317" t="str">
        <f t="shared" si="0"/>
        <v xml:space="preserve"> </v>
      </c>
      <c r="F8" s="296" t="str">
        <f t="shared" si="1"/>
        <v xml:space="preserve"> </v>
      </c>
      <c r="G8" s="315">
        <f>'t13'!T8</f>
        <v>0</v>
      </c>
      <c r="H8" s="317" t="str">
        <f t="shared" si="2"/>
        <v xml:space="preserve"> </v>
      </c>
      <c r="I8" s="296" t="str">
        <f t="shared" si="3"/>
        <v xml:space="preserve"> </v>
      </c>
      <c r="J8" s="335" t="str">
        <f t="shared" si="4"/>
        <v>OK</v>
      </c>
    </row>
    <row r="9" spans="1:13" ht="13.2" x14ac:dyDescent="0.25">
      <c r="A9" s="118" t="str">
        <f>'t1'!A9</f>
        <v>DIRIGENTE II FASCIA</v>
      </c>
      <c r="B9" s="92" t="str">
        <f>'t1'!B9</f>
        <v>0D0079</v>
      </c>
      <c r="C9" s="315">
        <f>'t13'!V9</f>
        <v>0</v>
      </c>
      <c r="D9" s="315">
        <f>'t13'!S9</f>
        <v>0</v>
      </c>
      <c r="E9" s="317" t="str">
        <f t="shared" si="0"/>
        <v xml:space="preserve"> </v>
      </c>
      <c r="F9" s="296" t="str">
        <f t="shared" si="1"/>
        <v xml:space="preserve"> </v>
      </c>
      <c r="G9" s="315">
        <f>'t13'!T9</f>
        <v>0</v>
      </c>
      <c r="H9" s="317" t="str">
        <f t="shared" si="2"/>
        <v xml:space="preserve"> </v>
      </c>
      <c r="I9" s="296" t="str">
        <f t="shared" si="3"/>
        <v xml:space="preserve"> </v>
      </c>
      <c r="J9" s="335" t="str">
        <f t="shared" si="4"/>
        <v>OK</v>
      </c>
    </row>
    <row r="10" spans="1:13" ht="13.2" x14ac:dyDescent="0.25">
      <c r="A10" s="118" t="str">
        <f>'t1'!A10</f>
        <v>DIRIGENTE II FASCIA A TEMPO DETERM.</v>
      </c>
      <c r="B10" s="92" t="str">
        <f>'t1'!B10</f>
        <v>0D0080</v>
      </c>
      <c r="C10" s="315">
        <f>'t13'!V10</f>
        <v>0</v>
      </c>
      <c r="D10" s="315">
        <f>'t13'!S10</f>
        <v>0</v>
      </c>
      <c r="E10" s="317" t="str">
        <f t="shared" si="0"/>
        <v xml:space="preserve"> </v>
      </c>
      <c r="F10" s="296" t="str">
        <f t="shared" si="1"/>
        <v xml:space="preserve"> </v>
      </c>
      <c r="G10" s="315">
        <f>'t13'!T10</f>
        <v>0</v>
      </c>
      <c r="H10" s="317" t="str">
        <f t="shared" si="2"/>
        <v xml:space="preserve"> </v>
      </c>
      <c r="I10" s="296" t="str">
        <f t="shared" si="3"/>
        <v xml:space="preserve"> </v>
      </c>
      <c r="J10" s="335" t="str">
        <f t="shared" si="4"/>
        <v>OK</v>
      </c>
    </row>
    <row r="11" spans="1:13" ht="13.2" x14ac:dyDescent="0.25">
      <c r="A11" s="118" t="str">
        <f>'t1'!A11</f>
        <v>MEDICO II FASCIA T.P.</v>
      </c>
      <c r="B11" s="92" t="str">
        <f>'t1'!B11</f>
        <v>0D0584</v>
      </c>
      <c r="C11" s="315">
        <f>'t13'!V11</f>
        <v>0</v>
      </c>
      <c r="D11" s="315">
        <f>'t13'!S11</f>
        <v>0</v>
      </c>
      <c r="E11" s="317" t="str">
        <f t="shared" si="0"/>
        <v xml:space="preserve"> </v>
      </c>
      <c r="F11" s="296" t="str">
        <f t="shared" si="1"/>
        <v xml:space="preserve"> </v>
      </c>
      <c r="G11" s="315">
        <f>'t13'!T11</f>
        <v>0</v>
      </c>
      <c r="H11" s="317" t="str">
        <f t="shared" si="2"/>
        <v xml:space="preserve"> </v>
      </c>
      <c r="I11" s="296" t="str">
        <f t="shared" si="3"/>
        <v xml:space="preserve"> </v>
      </c>
      <c r="J11" s="335" t="str">
        <f t="shared" si="4"/>
        <v>OK</v>
      </c>
    </row>
    <row r="12" spans="1:13" ht="13.2" x14ac:dyDescent="0.25">
      <c r="A12" s="118" t="str">
        <f>'t1'!A12</f>
        <v>MEDICO I FASCIA T.P.</v>
      </c>
      <c r="B12" s="92" t="str">
        <f>'t1'!B12</f>
        <v>0D0585</v>
      </c>
      <c r="C12" s="315">
        <f>'t13'!V12</f>
        <v>0</v>
      </c>
      <c r="D12" s="315">
        <f>'t13'!S12</f>
        <v>0</v>
      </c>
      <c r="E12" s="317" t="str">
        <f t="shared" si="0"/>
        <v xml:space="preserve"> </v>
      </c>
      <c r="F12" s="296" t="str">
        <f t="shared" si="1"/>
        <v xml:space="preserve"> </v>
      </c>
      <c r="G12" s="315">
        <f>'t13'!T12</f>
        <v>0</v>
      </c>
      <c r="H12" s="317" t="str">
        <f t="shared" si="2"/>
        <v xml:space="preserve"> </v>
      </c>
      <c r="I12" s="296" t="str">
        <f t="shared" si="3"/>
        <v xml:space="preserve"> </v>
      </c>
      <c r="J12" s="335" t="str">
        <f t="shared" si="4"/>
        <v>OK</v>
      </c>
    </row>
    <row r="13" spans="1:13" ht="13.2" x14ac:dyDescent="0.25">
      <c r="A13" s="118" t="str">
        <f>'t1'!A13</f>
        <v>MEDICO II FASCIA T.D.</v>
      </c>
      <c r="B13" s="92" t="str">
        <f>'t1'!B13</f>
        <v>0D0586</v>
      </c>
      <c r="C13" s="315">
        <f>'t13'!V13</f>
        <v>0</v>
      </c>
      <c r="D13" s="315">
        <f>'t13'!S13</f>
        <v>0</v>
      </c>
      <c r="E13" s="317" t="str">
        <f t="shared" si="0"/>
        <v xml:space="preserve"> </v>
      </c>
      <c r="F13" s="296" t="str">
        <f t="shared" si="1"/>
        <v xml:space="preserve"> </v>
      </c>
      <c r="G13" s="315">
        <f>'t13'!T13</f>
        <v>0</v>
      </c>
      <c r="H13" s="317" t="str">
        <f t="shared" si="2"/>
        <v xml:space="preserve"> </v>
      </c>
      <c r="I13" s="296" t="str">
        <f t="shared" si="3"/>
        <v xml:space="preserve"> </v>
      </c>
      <c r="J13" s="335" t="str">
        <f t="shared" si="4"/>
        <v>OK</v>
      </c>
    </row>
    <row r="14" spans="1:13" ht="13.2" x14ac:dyDescent="0.25">
      <c r="A14" s="118" t="str">
        <f>'t1'!A14</f>
        <v>MEDICO I FASCIA T.D.</v>
      </c>
      <c r="B14" s="92" t="str">
        <f>'t1'!B14</f>
        <v>0D0496</v>
      </c>
      <c r="C14" s="315">
        <f>'t13'!V14</f>
        <v>0</v>
      </c>
      <c r="D14" s="315">
        <f>'t13'!S14</f>
        <v>0</v>
      </c>
      <c r="E14" s="317" t="str">
        <f t="shared" si="0"/>
        <v xml:space="preserve"> </v>
      </c>
      <c r="F14" s="296" t="str">
        <f t="shared" si="1"/>
        <v xml:space="preserve"> </v>
      </c>
      <c r="G14" s="315">
        <f>'t13'!T14</f>
        <v>0</v>
      </c>
      <c r="H14" s="317" t="str">
        <f t="shared" si="2"/>
        <v xml:space="preserve"> </v>
      </c>
      <c r="I14" s="296" t="str">
        <f t="shared" si="3"/>
        <v xml:space="preserve"> </v>
      </c>
      <c r="J14" s="335" t="str">
        <f t="shared" si="4"/>
        <v>OK</v>
      </c>
    </row>
    <row r="15" spans="1:13" ht="13.2" x14ac:dyDescent="0.25">
      <c r="A15" s="118" t="str">
        <f>'t1'!A15</f>
        <v>PROF.STI LEGALI LIV. II DIFF.</v>
      </c>
      <c r="B15" s="92" t="str">
        <f>'t1'!B15</f>
        <v>0D0473</v>
      </c>
      <c r="C15" s="315">
        <f>'t13'!V15</f>
        <v>0</v>
      </c>
      <c r="D15" s="315">
        <f>'t13'!S15</f>
        <v>0</v>
      </c>
      <c r="E15" s="317" t="str">
        <f t="shared" si="0"/>
        <v xml:space="preserve"> </v>
      </c>
      <c r="F15" s="296" t="str">
        <f t="shared" si="1"/>
        <v xml:space="preserve"> </v>
      </c>
      <c r="G15" s="315">
        <f>'t13'!T15</f>
        <v>0</v>
      </c>
      <c r="H15" s="317" t="str">
        <f t="shared" si="2"/>
        <v xml:space="preserve"> </v>
      </c>
      <c r="I15" s="296" t="str">
        <f t="shared" si="3"/>
        <v xml:space="preserve"> </v>
      </c>
      <c r="J15" s="335" t="str">
        <f t="shared" si="4"/>
        <v>OK</v>
      </c>
    </row>
    <row r="16" spans="1:13" ht="13.2" x14ac:dyDescent="0.25">
      <c r="A16" s="118" t="str">
        <f>'t1'!A16</f>
        <v>PROF.STI LEGALI LIV. I DIFF.</v>
      </c>
      <c r="B16" s="92" t="str">
        <f>'t1'!B16</f>
        <v>0D0472</v>
      </c>
      <c r="C16" s="315">
        <f>'t13'!V16</f>
        <v>0</v>
      </c>
      <c r="D16" s="315">
        <f>'t13'!S16</f>
        <v>0</v>
      </c>
      <c r="E16" s="317" t="str">
        <f t="shared" si="0"/>
        <v xml:space="preserve"> </v>
      </c>
      <c r="F16" s="296" t="str">
        <f t="shared" si="1"/>
        <v xml:space="preserve"> </v>
      </c>
      <c r="G16" s="315">
        <f>'t13'!T16</f>
        <v>0</v>
      </c>
      <c r="H16" s="317" t="str">
        <f t="shared" si="2"/>
        <v xml:space="preserve"> </v>
      </c>
      <c r="I16" s="296" t="str">
        <f t="shared" si="3"/>
        <v xml:space="preserve"> </v>
      </c>
      <c r="J16" s="335" t="str">
        <f t="shared" si="4"/>
        <v>OK</v>
      </c>
    </row>
    <row r="17" spans="1:10" ht="13.2" x14ac:dyDescent="0.25">
      <c r="A17" s="118" t="str">
        <f>'t1'!A17</f>
        <v>PROF.STI LEGALI</v>
      </c>
      <c r="B17" s="92" t="str">
        <f>'t1'!B17</f>
        <v>0D0084</v>
      </c>
      <c r="C17" s="315">
        <f>'t13'!V17</f>
        <v>0</v>
      </c>
      <c r="D17" s="315">
        <f>'t13'!S17</f>
        <v>0</v>
      </c>
      <c r="E17" s="317" t="str">
        <f t="shared" si="0"/>
        <v xml:space="preserve"> </v>
      </c>
      <c r="F17" s="296" t="str">
        <f t="shared" si="1"/>
        <v xml:space="preserve"> </v>
      </c>
      <c r="G17" s="315">
        <f>'t13'!T17</f>
        <v>0</v>
      </c>
      <c r="H17" s="317" t="str">
        <f t="shared" si="2"/>
        <v xml:space="preserve"> </v>
      </c>
      <c r="I17" s="296" t="str">
        <f t="shared" si="3"/>
        <v xml:space="preserve"> </v>
      </c>
      <c r="J17" s="335" t="str">
        <f t="shared" si="4"/>
        <v>OK</v>
      </c>
    </row>
    <row r="18" spans="1:10" ht="13.2" x14ac:dyDescent="0.25">
      <c r="A18" s="118" t="str">
        <f>'t1'!A18</f>
        <v>ALTRI PROF.STI LIV. II DIFF.</v>
      </c>
      <c r="B18" s="92" t="str">
        <f>'t1'!B18</f>
        <v>0D0481</v>
      </c>
      <c r="C18" s="315">
        <f>'t13'!V18</f>
        <v>0</v>
      </c>
      <c r="D18" s="315">
        <f>'t13'!S18</f>
        <v>0</v>
      </c>
      <c r="E18" s="317" t="str">
        <f t="shared" si="0"/>
        <v xml:space="preserve"> </v>
      </c>
      <c r="F18" s="296" t="str">
        <f t="shared" si="1"/>
        <v xml:space="preserve"> </v>
      </c>
      <c r="G18" s="315">
        <f>'t13'!T18</f>
        <v>0</v>
      </c>
      <c r="H18" s="317" t="str">
        <f t="shared" si="2"/>
        <v xml:space="preserve"> </v>
      </c>
      <c r="I18" s="296" t="str">
        <f t="shared" si="3"/>
        <v xml:space="preserve"> </v>
      </c>
      <c r="J18" s="335" t="str">
        <f t="shared" si="4"/>
        <v>OK</v>
      </c>
    </row>
    <row r="19" spans="1:10" ht="13.2" x14ac:dyDescent="0.25">
      <c r="A19" s="118" t="str">
        <f>'t1'!A19</f>
        <v>ALTRI PROF.STI LIV. I DIFF.</v>
      </c>
      <c r="B19" s="92" t="str">
        <f>'t1'!B19</f>
        <v>0D0480</v>
      </c>
      <c r="C19" s="315">
        <f>'t13'!V19</f>
        <v>0</v>
      </c>
      <c r="D19" s="315">
        <f>'t13'!S19</f>
        <v>0</v>
      </c>
      <c r="E19" s="317" t="str">
        <f t="shared" si="0"/>
        <v xml:space="preserve"> </v>
      </c>
      <c r="F19" s="296" t="str">
        <f t="shared" si="1"/>
        <v xml:space="preserve"> </v>
      </c>
      <c r="G19" s="315">
        <f>'t13'!T19</f>
        <v>0</v>
      </c>
      <c r="H19" s="317" t="str">
        <f t="shared" si="2"/>
        <v xml:space="preserve"> </v>
      </c>
      <c r="I19" s="296" t="str">
        <f t="shared" si="3"/>
        <v xml:space="preserve"> </v>
      </c>
      <c r="J19" s="335" t="str">
        <f t="shared" si="4"/>
        <v>OK</v>
      </c>
    </row>
    <row r="20" spans="1:10" ht="13.2" x14ac:dyDescent="0.25">
      <c r="A20" s="118" t="str">
        <f>'t1'!A20</f>
        <v>ALTRI PROF.STI</v>
      </c>
      <c r="B20" s="92" t="str">
        <f>'t1'!B20</f>
        <v>0D0075</v>
      </c>
      <c r="C20" s="315">
        <f>'t13'!V20</f>
        <v>0</v>
      </c>
      <c r="D20" s="315">
        <f>'t13'!S20</f>
        <v>0</v>
      </c>
      <c r="E20" s="317" t="str">
        <f t="shared" si="0"/>
        <v xml:space="preserve"> </v>
      </c>
      <c r="F20" s="296" t="str">
        <f t="shared" si="1"/>
        <v xml:space="preserve"> </v>
      </c>
      <c r="G20" s="315">
        <f>'t13'!T20</f>
        <v>0</v>
      </c>
      <c r="H20" s="317" t="str">
        <f t="shared" si="2"/>
        <v xml:space="preserve"> </v>
      </c>
      <c r="I20" s="296" t="str">
        <f t="shared" si="3"/>
        <v xml:space="preserve"> </v>
      </c>
      <c r="J20" s="335" t="str">
        <f t="shared" si="4"/>
        <v>OK</v>
      </c>
    </row>
    <row r="21" spans="1:10" ht="13.2" x14ac:dyDescent="0.25">
      <c r="A21" s="118" t="str">
        <f>'t1'!A21</f>
        <v>ELEVATE PROFESSIONALITA'</v>
      </c>
      <c r="B21" s="92" t="str">
        <f>'t1'!B21</f>
        <v>0EP981</v>
      </c>
      <c r="C21" s="315">
        <f>'t13'!V21</f>
        <v>0</v>
      </c>
      <c r="D21" s="315">
        <f>'t13'!S21</f>
        <v>0</v>
      </c>
      <c r="E21" s="317" t="str">
        <f>IF($C21=0," ",IF(D21=0," ",D21/$C21))</f>
        <v xml:space="preserve"> </v>
      </c>
      <c r="F21" s="296" t="str">
        <f>IF($C21=0," ",IF(D21=0," ",IF(E21&gt;0.2,"ERRORE","OK")))</f>
        <v xml:space="preserve"> </v>
      </c>
      <c r="G21" s="315">
        <f>'t13'!T21</f>
        <v>0</v>
      </c>
      <c r="H21" s="317" t="str">
        <f>IF($C21=0," ",IF(G21=0," ",G21/$C21))</f>
        <v xml:space="preserve"> </v>
      </c>
      <c r="I21" s="296" t="str">
        <f>IF($C21=0," ",IF(G21=0," ",IF(H21&gt;0.2,"ERRORE","OK")))</f>
        <v xml:space="preserve"> </v>
      </c>
      <c r="J21" s="335" t="str">
        <f>IF(OR(F21="ERRORE",I21="ERRORE"),"ERRORE","OK")</f>
        <v>OK</v>
      </c>
    </row>
    <row r="22" spans="1:10" ht="13.2" x14ac:dyDescent="0.25">
      <c r="A22" s="118" t="str">
        <f>'t1'!A22</f>
        <v>FUNZIONARI</v>
      </c>
      <c r="B22" s="92" t="str">
        <f>'t1'!B22</f>
        <v>0FZ000</v>
      </c>
      <c r="C22" s="315">
        <f>'t13'!V22</f>
        <v>0</v>
      </c>
      <c r="D22" s="315">
        <f>'t13'!S22</f>
        <v>0</v>
      </c>
      <c r="E22" s="317" t="str">
        <f>IF($C22=0," ",IF(D22=0," ",D22/$C22))</f>
        <v xml:space="preserve"> </v>
      </c>
      <c r="F22" s="296" t="str">
        <f>IF($C22=0," ",IF(D22=0," ",IF(E22&gt;0.2,"ERRORE","OK")))</f>
        <v xml:space="preserve"> </v>
      </c>
      <c r="G22" s="315">
        <f>'t13'!T22</f>
        <v>0</v>
      </c>
      <c r="H22" s="317" t="str">
        <f>IF($C22=0," ",IF(G22=0," ",G22/$C22))</f>
        <v xml:space="preserve"> </v>
      </c>
      <c r="I22" s="296" t="str">
        <f>IF($C22=0," ",IF(G22=0," ",IF(H22&gt;0.2,"ERRORE","OK")))</f>
        <v xml:space="preserve"> </v>
      </c>
      <c r="J22" s="335" t="str">
        <f>IF(OR(F22="ERRORE",I22="ERRORE"),"ERRORE","OK")</f>
        <v>OK</v>
      </c>
    </row>
    <row r="23" spans="1:10" ht="13.2" x14ac:dyDescent="0.25">
      <c r="A23" s="118" t="str">
        <f>'t1'!A23</f>
        <v>ASSISTENTI</v>
      </c>
      <c r="B23" s="92" t="str">
        <f>'t1'!B23</f>
        <v>0AS000</v>
      </c>
      <c r="C23" s="315">
        <f>'t13'!V23</f>
        <v>0</v>
      </c>
      <c r="D23" s="315">
        <f>'t13'!S23</f>
        <v>0</v>
      </c>
      <c r="E23" s="317" t="str">
        <f>IF($C23=0," ",IF(D23=0," ",D23/$C23))</f>
        <v xml:space="preserve"> </v>
      </c>
      <c r="F23" s="296" t="str">
        <f>IF($C23=0," ",IF(D23=0," ",IF(E23&gt;0.2,"ERRORE","OK")))</f>
        <v xml:space="preserve"> </v>
      </c>
      <c r="G23" s="315">
        <f>'t13'!T23</f>
        <v>0</v>
      </c>
      <c r="H23" s="317" t="str">
        <f>IF($C23=0," ",IF(G23=0," ",G23/$C23))</f>
        <v xml:space="preserve"> </v>
      </c>
      <c r="I23" s="296" t="str">
        <f>IF($C23=0," ",IF(G23=0," ",IF(H23&gt;0.2,"ERRORE","OK")))</f>
        <v xml:space="preserve"> </v>
      </c>
      <c r="J23" s="335" t="str">
        <f>IF(OR(F23="ERRORE",I23="ERRORE"),"ERRORE","OK")</f>
        <v>OK</v>
      </c>
    </row>
    <row r="24" spans="1:10" ht="13.2" x14ac:dyDescent="0.25">
      <c r="A24" s="118" t="str">
        <f>'t1'!A24</f>
        <v>OPERATORI</v>
      </c>
      <c r="B24" s="92" t="str">
        <f>'t1'!B24</f>
        <v>0OP000</v>
      </c>
      <c r="C24" s="315">
        <f>'t13'!V24</f>
        <v>0</v>
      </c>
      <c r="D24" s="315">
        <f>'t13'!S24</f>
        <v>0</v>
      </c>
      <c r="E24" s="317" t="str">
        <f>IF($C24=0," ",IF(D24=0," ",D24/$C24))</f>
        <v xml:space="preserve"> </v>
      </c>
      <c r="F24" s="296" t="str">
        <f>IF($C24=0," ",IF(D24=0," ",IF(E24&gt;0.2,"ERRORE","OK")))</f>
        <v xml:space="preserve"> </v>
      </c>
      <c r="G24" s="315">
        <f>'t13'!T24</f>
        <v>0</v>
      </c>
      <c r="H24" s="317" t="str">
        <f>IF($C24=0," ",IF(G24=0," ",G24/$C24))</f>
        <v xml:space="preserve"> </v>
      </c>
      <c r="I24" s="296" t="str">
        <f>IF($C24=0," ",IF(G24=0," ",IF(H24&gt;0.2,"ERRORE","OK")))</f>
        <v xml:space="preserve"> </v>
      </c>
      <c r="J24" s="335" t="str">
        <f>IF(OR(F24="ERRORE",I24="ERRORE"),"ERRORE","OK")</f>
        <v>OK</v>
      </c>
    </row>
    <row r="25" spans="1:10" ht="13.2" x14ac:dyDescent="0.25">
      <c r="A25" s="118" t="str">
        <f>'t1'!A25</f>
        <v>CONTRATTISTI</v>
      </c>
      <c r="B25" s="92" t="str">
        <f>'t1'!B25</f>
        <v>000061</v>
      </c>
      <c r="C25" s="315">
        <f>'t13'!V25</f>
        <v>0</v>
      </c>
      <c r="D25" s="315">
        <f>'t13'!S25</f>
        <v>0</v>
      </c>
      <c r="E25" s="317" t="str">
        <f>IF($C25=0," ",IF(D25=0," ",D25/$C25))</f>
        <v xml:space="preserve"> </v>
      </c>
      <c r="F25" s="296" t="str">
        <f>IF($C25=0," ",IF(D25=0," ",IF(E25&gt;0.2,"ERRORE","OK")))</f>
        <v xml:space="preserve"> </v>
      </c>
      <c r="G25" s="315">
        <f>'t13'!T25</f>
        <v>0</v>
      </c>
      <c r="H25" s="317" t="str">
        <f>IF($C25=0," ",IF(G25=0," ",G25/$C25))</f>
        <v xml:space="preserve"> </v>
      </c>
      <c r="I25" s="296" t="str">
        <f>IF($C25=0," ",IF(G25=0," ",IF(H25&gt;0.2,"ERRORE","OK")))</f>
        <v xml:space="preserve"> </v>
      </c>
      <c r="J25" s="335" t="str">
        <f>IF(OR(F25="ERRORE",I25="ERRORE"),"ERRORE","OK")</f>
        <v>OK</v>
      </c>
    </row>
  </sheetData>
  <sheetProtection algorithmName="SHA-512" hashValue="71B24F0I2cSzf61HtPNBiT7lqPCDKlsUAOzakSP73M2eoEcMaGs3PxwX4nduN9VrB9GVcFhgjYef0SaYwV+pEA==" saltValue="8XgjQzHMEHV1EQiOCi2t6g==" spinCount="100000" sheet="1" formatColumns="0" selectLockedCells="1" selectUnlockedCells="1"/>
  <mergeCells count="2">
    <mergeCell ref="A1:J1"/>
    <mergeCell ref="D2:J2"/>
  </mergeCells>
  <printOptions horizontalCentered="1"/>
  <pageMargins left="0.23622047244094491" right="0.23622047244094491" top="0.19685039370078741" bottom="0.15748031496062992" header="0.15748031496062992" footer="0.15748031496062992"/>
  <pageSetup paperSize="9" scale="85" orientation="landscape" horizontalDpi="0" verticalDpi="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Foglio3"/>
  <dimension ref="A1:L16"/>
  <sheetViews>
    <sheetView showGridLines="0" workbookViewId="0">
      <selection activeCell="A5" sqref="A5"/>
    </sheetView>
  </sheetViews>
  <sheetFormatPr defaultRowHeight="10.199999999999999" x14ac:dyDescent="0.2"/>
  <cols>
    <col min="1" max="1" width="37.7109375" style="3" customWidth="1"/>
    <col min="2" max="2" width="8.42578125" style="2" hidden="1" customWidth="1"/>
    <col min="3" max="5" width="12.7109375" style="3" customWidth="1"/>
    <col min="6" max="6" width="1.7109375" style="3" customWidth="1"/>
    <col min="7" max="9" width="12.7109375" style="477" customWidth="1"/>
    <col min="10" max="10" width="1.7109375" customWidth="1"/>
    <col min="11" max="12" width="14.7109375" customWidth="1"/>
  </cols>
  <sheetData>
    <row r="1" spans="1:12" ht="32.700000000000003" customHeight="1" x14ac:dyDescent="0.2">
      <c r="A1" s="1637" t="str">
        <f>'t1'!A1</f>
        <v>ENTI PUBBLICI NON ECONOMICI - anno 2023</v>
      </c>
      <c r="B1" s="1637"/>
      <c r="C1" s="1637"/>
      <c r="D1" s="1637"/>
      <c r="E1" s="1637"/>
      <c r="F1" s="1637"/>
      <c r="G1" s="1637"/>
      <c r="H1" s="1637"/>
      <c r="I1" s="1637"/>
      <c r="J1" s="1637"/>
      <c r="K1" s="1637"/>
    </row>
    <row r="2" spans="1:12" ht="42" customHeight="1" thickBot="1" x14ac:dyDescent="0.3">
      <c r="A2" s="1638" t="s">
        <v>597</v>
      </c>
      <c r="B2" s="1638"/>
      <c r="C2" s="1638"/>
      <c r="D2" s="1638"/>
      <c r="E2" s="1638"/>
      <c r="F2" s="1638"/>
      <c r="G2" s="1638"/>
      <c r="H2" s="1638"/>
      <c r="I2" s="1638"/>
      <c r="J2" s="1638"/>
      <c r="K2" s="1638"/>
      <c r="L2" s="1638"/>
    </row>
    <row r="3" spans="1:12" ht="30.6" customHeight="1" thickBot="1" x14ac:dyDescent="0.25">
      <c r="A3" s="673" t="s">
        <v>89</v>
      </c>
      <c r="B3" s="674" t="s">
        <v>57</v>
      </c>
      <c r="C3" s="1639" t="s">
        <v>598</v>
      </c>
      <c r="D3" s="1640"/>
      <c r="E3" s="1641"/>
      <c r="F3" s="675"/>
      <c r="G3" s="1642" t="s">
        <v>599</v>
      </c>
      <c r="H3" s="1643"/>
      <c r="I3" s="1644"/>
      <c r="K3" s="1642" t="s">
        <v>600</v>
      </c>
      <c r="L3" s="1644"/>
    </row>
    <row r="4" spans="1:12" ht="13.2" x14ac:dyDescent="0.25">
      <c r="A4" s="676"/>
      <c r="B4" s="677"/>
      <c r="C4" s="678" t="s">
        <v>58</v>
      </c>
      <c r="D4" s="679" t="s">
        <v>59</v>
      </c>
      <c r="E4" s="680" t="s">
        <v>601</v>
      </c>
      <c r="F4" s="681"/>
      <c r="G4" s="678" t="s">
        <v>58</v>
      </c>
      <c r="H4" s="679" t="s">
        <v>59</v>
      </c>
      <c r="I4" s="680" t="s">
        <v>601</v>
      </c>
      <c r="J4" s="176"/>
      <c r="K4" s="678" t="s">
        <v>58</v>
      </c>
      <c r="L4" s="680" t="s">
        <v>59</v>
      </c>
    </row>
    <row r="5" spans="1:12" ht="13.2" x14ac:dyDescent="0.25">
      <c r="A5" s="682"/>
      <c r="B5" s="683"/>
      <c r="C5" s="684" t="s">
        <v>182</v>
      </c>
      <c r="D5" s="558" t="s">
        <v>183</v>
      </c>
      <c r="E5" s="685" t="s">
        <v>184</v>
      </c>
      <c r="F5" s="686"/>
      <c r="G5" s="687" t="s">
        <v>185</v>
      </c>
      <c r="H5" s="558" t="s">
        <v>186</v>
      </c>
      <c r="I5" s="685" t="s">
        <v>206</v>
      </c>
      <c r="K5" s="687" t="s">
        <v>602</v>
      </c>
      <c r="L5" s="685" t="s">
        <v>603</v>
      </c>
    </row>
    <row r="6" spans="1:12" ht="13.2" x14ac:dyDescent="0.25">
      <c r="A6" s="688" t="str">
        <f>'t2'!A6</f>
        <v>MEDICI</v>
      </c>
      <c r="B6" s="663" t="str">
        <f>'t2'!B6</f>
        <v>MD</v>
      </c>
      <c r="C6" s="689">
        <f>'t2'!C6</f>
        <v>0</v>
      </c>
      <c r="D6" s="690">
        <f>'t2'!D6</f>
        <v>0</v>
      </c>
      <c r="E6" s="691">
        <f t="shared" ref="E6:E13" si="0">SUM(C6:D6)</f>
        <v>0</v>
      </c>
      <c r="F6" s="686"/>
      <c r="G6" s="692">
        <f>t2A!D12+t2A!F12+t2A!H12+t2A!J12+t2A!L12+t2A!N12+t2A!P12+t2A!R12</f>
        <v>0</v>
      </c>
      <c r="H6" s="693">
        <f>t2A!E12+t2A!G12+t2A!I12+t2A!K12+t2A!M12+t2A!O12+t2A!Q12+t2A!S12</f>
        <v>0</v>
      </c>
      <c r="I6" s="694">
        <f t="shared" ref="I6:I13" si="1">SUM(G6:H6)</f>
        <v>0</v>
      </c>
      <c r="K6" s="695" t="str">
        <f t="shared" ref="K6:L9" si="2">IF(C6&gt;0,IF(G6&gt;0,"OK","Manca T2A"),IF(C6=0,IF(G6=0,"OK","Manca T2"),"orrore"))</f>
        <v>OK</v>
      </c>
      <c r="L6" s="696" t="str">
        <f t="shared" si="2"/>
        <v>OK</v>
      </c>
    </row>
    <row r="7" spans="1:12" ht="13.2" x14ac:dyDescent="0.25">
      <c r="A7" s="688" t="str">
        <f>'t2'!A7</f>
        <v>PROFESSIONISTI</v>
      </c>
      <c r="B7" s="663" t="str">
        <f>'t2'!B7</f>
        <v>AP</v>
      </c>
      <c r="C7" s="689">
        <f>'t2'!C7</f>
        <v>0</v>
      </c>
      <c r="D7" s="690">
        <f>'t2'!D7</f>
        <v>0</v>
      </c>
      <c r="E7" s="691">
        <f t="shared" si="0"/>
        <v>0</v>
      </c>
      <c r="F7" s="686"/>
      <c r="G7" s="692">
        <f>t2A!D13+t2A!F13+t2A!H13+t2A!J13+t2A!L13+t2A!N13+t2A!P13+t2A!R13</f>
        <v>0</v>
      </c>
      <c r="H7" s="693">
        <f>t2A!E13+t2A!G13+t2A!I13+t2A!K13+t2A!M13+t2A!O13+t2A!Q13+t2A!S13</f>
        <v>0</v>
      </c>
      <c r="I7" s="694">
        <f t="shared" si="1"/>
        <v>0</v>
      </c>
      <c r="K7" s="695" t="str">
        <f t="shared" si="2"/>
        <v>OK</v>
      </c>
      <c r="L7" s="696" t="str">
        <f t="shared" si="2"/>
        <v>OK</v>
      </c>
    </row>
    <row r="8" spans="1:12" ht="13.2" x14ac:dyDescent="0.25">
      <c r="A8" s="688" t="str">
        <f>'t2'!A8</f>
        <v>PERSONALE ELEVATE PROFESSIONALITA</v>
      </c>
      <c r="B8" s="663" t="str">
        <f>'t2'!B8</f>
        <v>EP</v>
      </c>
      <c r="C8" s="689">
        <f>'t2'!C8</f>
        <v>0</v>
      </c>
      <c r="D8" s="690">
        <f>'t2'!D8</f>
        <v>0</v>
      </c>
      <c r="E8" s="691">
        <f t="shared" si="0"/>
        <v>0</v>
      </c>
      <c r="F8" s="686"/>
      <c r="G8" s="692">
        <f>t2A!D14+t2A!F14+t2A!H14+t2A!J14+t2A!L14+t2A!N14+t2A!P14+t2A!R14</f>
        <v>0</v>
      </c>
      <c r="H8" s="693">
        <f>t2A!E14+t2A!G14+t2A!I14+t2A!K14+t2A!M14+t2A!O14+t2A!Q14+t2A!S14</f>
        <v>0</v>
      </c>
      <c r="I8" s="694">
        <f t="shared" si="1"/>
        <v>0</v>
      </c>
      <c r="K8" s="695" t="str">
        <f t="shared" si="2"/>
        <v>OK</v>
      </c>
      <c r="L8" s="696" t="str">
        <f t="shared" si="2"/>
        <v>OK</v>
      </c>
    </row>
    <row r="9" spans="1:12" ht="13.2" x14ac:dyDescent="0.25">
      <c r="A9" s="688" t="str">
        <f>'t2'!A9</f>
        <v>FUNZIONARI</v>
      </c>
      <c r="B9" s="663" t="str">
        <f>'t2'!B9</f>
        <v>FU</v>
      </c>
      <c r="C9" s="689">
        <f>'t2'!C9</f>
        <v>0</v>
      </c>
      <c r="D9" s="690">
        <f>'t2'!D9</f>
        <v>0</v>
      </c>
      <c r="E9" s="691">
        <f t="shared" si="0"/>
        <v>0</v>
      </c>
      <c r="F9" s="686"/>
      <c r="G9" s="692">
        <f>t2A!D15+t2A!F15+t2A!H15+t2A!J15+t2A!L15+t2A!N15+t2A!P15+t2A!R15</f>
        <v>0</v>
      </c>
      <c r="H9" s="693">
        <f>t2A!E15+t2A!G15+t2A!I15+t2A!K15+t2A!M15+t2A!O15+t2A!Q15+t2A!S15</f>
        <v>0</v>
      </c>
      <c r="I9" s="694">
        <f t="shared" si="1"/>
        <v>0</v>
      </c>
      <c r="K9" s="695" t="str">
        <f t="shared" si="2"/>
        <v>OK</v>
      </c>
      <c r="L9" s="696" t="str">
        <f t="shared" si="2"/>
        <v>OK</v>
      </c>
    </row>
    <row r="10" spans="1:12" ht="13.2" x14ac:dyDescent="0.25">
      <c r="A10" s="688" t="str">
        <f>'t2'!A10</f>
        <v>ASSISTENTI</v>
      </c>
      <c r="B10" s="663" t="str">
        <f>'t2'!B10</f>
        <v>AT</v>
      </c>
      <c r="C10" s="689">
        <f>'t2'!C10</f>
        <v>0</v>
      </c>
      <c r="D10" s="690">
        <f>'t2'!D10</f>
        <v>0</v>
      </c>
      <c r="E10" s="691">
        <f>SUM(C10:D10)</f>
        <v>0</v>
      </c>
      <c r="F10" s="686"/>
      <c r="G10" s="692">
        <f>t2A!D16+t2A!F16+t2A!H16+t2A!J16+t2A!L16+t2A!N16+t2A!P16+t2A!R16</f>
        <v>0</v>
      </c>
      <c r="H10" s="693">
        <f>t2A!E16+t2A!G16+t2A!I16+t2A!K16+t2A!M16+t2A!O16+t2A!Q16+t2A!S16</f>
        <v>0</v>
      </c>
      <c r="I10" s="694">
        <f>SUM(G10:H10)</f>
        <v>0</v>
      </c>
      <c r="K10" s="695" t="str">
        <f t="shared" ref="K10:L12" si="3">IF(C10&gt;0,IF(G10&gt;0,"OK","Manca T2A"),IF(C10=0,IF(G10=0,"OK","Manca T2"),"orrore"))</f>
        <v>OK</v>
      </c>
      <c r="L10" s="696" t="str">
        <f t="shared" si="3"/>
        <v>OK</v>
      </c>
    </row>
    <row r="11" spans="1:12" ht="13.2" x14ac:dyDescent="0.25">
      <c r="A11" s="688" t="str">
        <f>'t2'!A11</f>
        <v>OPERATORI</v>
      </c>
      <c r="B11" s="663" t="str">
        <f>'t2'!B11</f>
        <v>OP</v>
      </c>
      <c r="C11" s="689">
        <f>'t2'!C11</f>
        <v>0</v>
      </c>
      <c r="D11" s="690">
        <f>'t2'!D11</f>
        <v>0</v>
      </c>
      <c r="E11" s="691">
        <f>SUM(C11:D11)</f>
        <v>0</v>
      </c>
      <c r="F11" s="686"/>
      <c r="G11" s="692">
        <f>t2A!D17+t2A!F17+t2A!H17+t2A!J17+t2A!L17+t2A!N17+t2A!P17+t2A!R17</f>
        <v>0</v>
      </c>
      <c r="H11" s="693">
        <f>t2A!E17+t2A!G17+t2A!I17+t2A!K17+t2A!M17+t2A!O17+t2A!Q17+t2A!S17</f>
        <v>0</v>
      </c>
      <c r="I11" s="694">
        <f>SUM(G11:H11)</f>
        <v>0</v>
      </c>
      <c r="K11" s="695" t="str">
        <f t="shared" si="3"/>
        <v>OK</v>
      </c>
      <c r="L11" s="696" t="str">
        <f t="shared" si="3"/>
        <v>OK</v>
      </c>
    </row>
    <row r="12" spans="1:12" ht="13.8" thickBot="1" x14ac:dyDescent="0.3">
      <c r="A12" s="688" t="str">
        <f>'t2'!A12</f>
        <v>PERSONALE CONTRATTISTA</v>
      </c>
      <c r="B12" s="663" t="str">
        <f>'t2'!B12</f>
        <v>PC</v>
      </c>
      <c r="C12" s="689">
        <f>'t2'!C12</f>
        <v>0</v>
      </c>
      <c r="D12" s="690">
        <f>'t2'!D12</f>
        <v>0</v>
      </c>
      <c r="E12" s="691">
        <f>SUM(C12:D12)</f>
        <v>0</v>
      </c>
      <c r="F12" s="686"/>
      <c r="G12" s="692">
        <f>t2A!D18+t2A!F18+t2A!H18+t2A!J18+t2A!L18+t2A!N18+t2A!P18+t2A!R18</f>
        <v>0</v>
      </c>
      <c r="H12" s="693">
        <f>t2A!E18+t2A!G18+t2A!I18+t2A!K18+t2A!M18+t2A!O18+t2A!Q18+t2A!S18</f>
        <v>0</v>
      </c>
      <c r="I12" s="694">
        <f>SUM(G12:H12)</f>
        <v>0</v>
      </c>
      <c r="K12" s="695" t="str">
        <f t="shared" si="3"/>
        <v>OK</v>
      </c>
      <c r="L12" s="696" t="str">
        <f t="shared" si="3"/>
        <v>OK</v>
      </c>
    </row>
    <row r="13" spans="1:12" ht="13.8" thickBot="1" x14ac:dyDescent="0.3">
      <c r="A13" s="697" t="s">
        <v>60</v>
      </c>
      <c r="B13" s="698"/>
      <c r="C13" s="699">
        <f>SUM(C6:C12)</f>
        <v>0</v>
      </c>
      <c r="D13" s="700">
        <f>SUM(D6:D12)</f>
        <v>0</v>
      </c>
      <c r="E13" s="701">
        <f t="shared" si="0"/>
        <v>0</v>
      </c>
      <c r="G13" s="702">
        <f>SUM(G6:G12)</f>
        <v>0</v>
      </c>
      <c r="H13" s="703">
        <f>SUM(H6:H12)</f>
        <v>0</v>
      </c>
      <c r="I13" s="704">
        <f t="shared" si="1"/>
        <v>0</v>
      </c>
      <c r="K13" s="705" t="str">
        <f>IF(COUNTIF(K6:K12,"OK")=7,"OK","Errore")</f>
        <v>OK</v>
      </c>
      <c r="L13" s="706" t="str">
        <f>IF(COUNTIF(L6:L12,"OK")=7,"OK","Errore")</f>
        <v>OK</v>
      </c>
    </row>
    <row r="14" spans="1:12" x14ac:dyDescent="0.2">
      <c r="A14" s="6"/>
    </row>
    <row r="16" spans="1:12" ht="13.2" x14ac:dyDescent="0.25">
      <c r="A16" s="1636" t="str">
        <f>IF('t2'!$AK$3=1,"La squadratura non viene calcolata perché sulla Tabella 2 è stato segnalato che il personale è cessato al 31/12","")</f>
        <v/>
      </c>
      <c r="B16" s="1636"/>
      <c r="C16" s="1636"/>
      <c r="D16" s="1636"/>
      <c r="E16" s="1636"/>
      <c r="F16" s="1636"/>
      <c r="G16" s="1636"/>
      <c r="H16" s="1636"/>
      <c r="I16" s="1636"/>
      <c r="J16" s="1636"/>
      <c r="K16" s="1636"/>
      <c r="L16" s="1636"/>
    </row>
  </sheetData>
  <sheetProtection algorithmName="SHA-512" hashValue="cUj95uFi8C3upffe8gwVyLSwyn10X3LtC0g8doZ0YlJ5f/CNYx+ztOnwvN/RGyDQPA3+NQBSlkeocIkUoTdEfg==" saltValue="zncvOL5xvLsGeLprx8hCuQ==" spinCount="100000" sheet="1" formatColumns="0" selectLockedCells="1" selectUnlockedCells="1"/>
  <mergeCells count="6">
    <mergeCell ref="A16:L16"/>
    <mergeCell ref="A1:K1"/>
    <mergeCell ref="A2:L2"/>
    <mergeCell ref="C3:E3"/>
    <mergeCell ref="G3:I3"/>
    <mergeCell ref="K3:L3"/>
  </mergeCells>
  <dataValidations count="1">
    <dataValidation type="whole" allowBlank="1" showInputMessage="1" showErrorMessage="1" errorTitle="ERRORE" error="INSERIRE SOLO NUMERI INTERI COMPRESI TRA 0 E 9999999" sqref="G6:H13" xr:uid="{00000000-0002-0000-2B00-000000000000}">
      <formula1>0</formula1>
      <formula2>9999999</formula2>
    </dataValidation>
  </dataValidations>
  <pageMargins left="0.7" right="0.7" top="0.75" bottom="0.75" header="0.3" footer="0.3"/>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Foglio42"/>
  <dimension ref="A1:M20"/>
  <sheetViews>
    <sheetView showGridLines="0" workbookViewId="0">
      <selection activeCell="E3" sqref="E3"/>
    </sheetView>
  </sheetViews>
  <sheetFormatPr defaultColWidth="9.28515625" defaultRowHeight="10.199999999999999" x14ac:dyDescent="0.2"/>
  <cols>
    <col min="1" max="1" width="78.7109375" style="3" customWidth="1"/>
    <col min="2" max="3" width="19.7109375" style="3" customWidth="1"/>
    <col min="4" max="4" width="26.7109375" style="3" customWidth="1"/>
    <col min="5" max="5" width="25.140625" style="3" customWidth="1"/>
    <col min="6" max="16384" width="9.28515625" style="3"/>
  </cols>
  <sheetData>
    <row r="1" spans="1:13" ht="34.35" customHeight="1" x14ac:dyDescent="0.2">
      <c r="A1" s="1463" t="str">
        <f>'t1'!A1</f>
        <v>ENTI PUBBLICI NON ECONOMICI - anno 2023</v>
      </c>
      <c r="B1" s="1463"/>
      <c r="C1" s="1463"/>
      <c r="D1" s="1463"/>
      <c r="E1" s="610"/>
      <c r="F1" s="289"/>
      <c r="G1" s="289"/>
      <c r="H1" s="289"/>
      <c r="I1" s="289"/>
      <c r="M1"/>
    </row>
    <row r="2" spans="1:13" ht="16.2" thickBot="1" x14ac:dyDescent="0.25">
      <c r="A2" s="1648" t="s">
        <v>914</v>
      </c>
      <c r="B2" s="1648"/>
      <c r="C2" s="1648"/>
      <c r="D2" s="1648"/>
      <c r="E2" s="290"/>
      <c r="F2" s="290"/>
      <c r="G2" s="290"/>
      <c r="H2" s="290"/>
      <c r="I2" s="290"/>
      <c r="M2"/>
    </row>
    <row r="3" spans="1:13" ht="33" customHeight="1" thickBot="1" x14ac:dyDescent="0.3">
      <c r="A3" s="1645" t="s">
        <v>630</v>
      </c>
      <c r="B3" s="1646"/>
      <c r="C3" s="1646"/>
      <c r="D3" s="1647"/>
      <c r="E3" s="631"/>
    </row>
    <row r="4" spans="1:13" s="174" customFormat="1" ht="31.2" thickBot="1" x14ac:dyDescent="0.25">
      <c r="A4" s="563" t="s">
        <v>535</v>
      </c>
      <c r="B4" s="564" t="s">
        <v>536</v>
      </c>
      <c r="C4" s="564" t="s">
        <v>537</v>
      </c>
      <c r="D4" s="565" t="s">
        <v>538</v>
      </c>
    </row>
    <row r="5" spans="1:13" ht="39" customHeight="1" x14ac:dyDescent="0.2">
      <c r="A5" s="632" t="str">
        <f>SI_1!B85</f>
        <v>Non compilare</v>
      </c>
      <c r="B5" s="633">
        <f>SI_1!G85</f>
        <v>0</v>
      </c>
      <c r="C5" s="633">
        <f>'t1'!K26+'t1'!L26</f>
        <v>0</v>
      </c>
      <c r="D5" s="763" t="str">
        <f>IF(B5&lt;=C5,"OK","Dati incoerenti: controllare i valori")</f>
        <v>OK</v>
      </c>
    </row>
    <row r="6" spans="1:13" ht="39" customHeight="1" x14ac:dyDescent="0.2">
      <c r="A6" s="634" t="str">
        <f>SI_1!B106</f>
        <v>Indicare il numero delle unita rilevate in tabella 1 tra i "presenti al 31.12" che risultavano titolari di permessi per legge n. 104/92.</v>
      </c>
      <c r="B6" s="635">
        <f>SI_1!G106</f>
        <v>0</v>
      </c>
      <c r="C6" s="635">
        <f>'t1'!K26+'t1'!L26</f>
        <v>0</v>
      </c>
      <c r="D6" s="764" t="str">
        <f>IF(B6&lt;=C6,"OK","Dati incoerenti: controllare i valori")</f>
        <v>OK</v>
      </c>
    </row>
    <row r="7" spans="1:13" ht="39" customHeight="1" thickBot="1" x14ac:dyDescent="0.25">
      <c r="A7" s="636" t="str">
        <f>SI_1!B109</f>
        <v>Indicare il numero delle unita rilevate in tabella 1 tra i "presenti al 31.12" che risultavano titolari di permessi ai sensi dell'art. 42, c.5 D.lgs.151/2001.</v>
      </c>
      <c r="B7" s="637">
        <f>SI_1!G109</f>
        <v>0</v>
      </c>
      <c r="C7" s="637">
        <f>'t1'!K26+'t1'!L26</f>
        <v>0</v>
      </c>
      <c r="D7" s="762" t="str">
        <f>IF(B7&lt;=C7,"OK","Dati incoerenti: controllare i valori")</f>
        <v>OK</v>
      </c>
    </row>
    <row r="10" spans="1:13" ht="16.2" thickBot="1" x14ac:dyDescent="0.25">
      <c r="A10" s="759" t="s">
        <v>631</v>
      </c>
      <c r="B10" s="758"/>
      <c r="C10" s="758"/>
      <c r="D10" s="758"/>
      <c r="E10" s="290"/>
      <c r="F10" s="290"/>
      <c r="G10" s="290"/>
      <c r="H10" s="290"/>
      <c r="I10" s="290"/>
      <c r="M10"/>
    </row>
    <row r="11" spans="1:13" ht="32.700000000000003" customHeight="1" thickBot="1" x14ac:dyDescent="0.3">
      <c r="A11" s="1645" t="s">
        <v>632</v>
      </c>
      <c r="B11" s="1646"/>
      <c r="C11" s="1646"/>
      <c r="D11" s="1647"/>
      <c r="E11" s="631"/>
    </row>
    <row r="12" spans="1:13" s="174" customFormat="1" ht="21" thickBot="1" x14ac:dyDescent="0.25">
      <c r="A12" s="638" t="s">
        <v>535</v>
      </c>
      <c r="B12" s="639" t="s">
        <v>536</v>
      </c>
      <c r="C12" s="639" t="s">
        <v>539</v>
      </c>
      <c r="D12" s="640" t="s">
        <v>540</v>
      </c>
    </row>
    <row r="13" spans="1:13" ht="39" customHeight="1" x14ac:dyDescent="0.2">
      <c r="A13" s="641" t="str">
        <f>SI_1!B106</f>
        <v>Indicare il numero delle unita rilevate in tabella 1 tra i "presenti al 31.12" che risultavano titolari di permessi per legge n. 104/92.</v>
      </c>
      <c r="B13" s="642">
        <f>SI_1!G106</f>
        <v>0</v>
      </c>
      <c r="C13" s="643">
        <f>'t11'!I28+'t11'!J28</f>
        <v>0</v>
      </c>
      <c r="D13" s="761" t="str">
        <f>(IF(AND(C13=0,B13&gt;0),"Mancano le assenze per questa causale",IF(AND(C13&gt;0,B13=0),"Dichiarare Unita nella domanda della Scheda Informativa 1","OK")))</f>
        <v>OK</v>
      </c>
    </row>
    <row r="14" spans="1:13" ht="39" customHeight="1" thickBot="1" x14ac:dyDescent="0.25">
      <c r="A14" s="644" t="str">
        <f>SI_1!B109</f>
        <v>Indicare il numero delle unita rilevate in tabella 1 tra i "presenti al 31.12" che risultavano titolari di permessi ai sensi dell'art. 42, c.5 D.lgs.151/2001.</v>
      </c>
      <c r="B14" s="637">
        <f>SI_1!G109</f>
        <v>0</v>
      </c>
      <c r="C14" s="645">
        <f>'t11'!G28+'t11'!H28</f>
        <v>0</v>
      </c>
      <c r="D14" s="762" t="str">
        <f>(IF(AND(C14=0,B14&gt;0),"Mancano le assenze per questa causale",IF(AND(C14&gt;0,B14=0),"Dichiarare Unita nella domanda della Scheda Informativa 1","OK")))</f>
        <v>OK</v>
      </c>
    </row>
    <row r="17" spans="1:13" ht="13.35" customHeight="1" thickBot="1" x14ac:dyDescent="0.35">
      <c r="A17" s="760" t="s">
        <v>633</v>
      </c>
      <c r="B17" s="758"/>
      <c r="C17" s="758"/>
      <c r="D17" s="758"/>
      <c r="E17" s="290"/>
      <c r="F17" s="290"/>
      <c r="G17" s="290"/>
      <c r="H17" s="290"/>
      <c r="I17" s="290"/>
      <c r="M17"/>
    </row>
    <row r="18" spans="1:13" ht="31.35" customHeight="1" thickBot="1" x14ac:dyDescent="0.3">
      <c r="A18" s="1645" t="s">
        <v>634</v>
      </c>
      <c r="B18" s="1646"/>
      <c r="C18" s="1646"/>
      <c r="D18" s="1647"/>
      <c r="E18" s="631"/>
    </row>
    <row r="19" spans="1:13" ht="21" thickBot="1" x14ac:dyDescent="0.25">
      <c r="A19" s="638" t="s">
        <v>535</v>
      </c>
      <c r="B19" s="639" t="s">
        <v>614</v>
      </c>
      <c r="C19" s="639" t="s">
        <v>539</v>
      </c>
      <c r="D19" s="640" t="s">
        <v>540</v>
      </c>
    </row>
    <row r="20" spans="1:13" ht="38.1" customHeight="1" thickBot="1" x14ac:dyDescent="0.25">
      <c r="A20" s="644" t="s">
        <v>468</v>
      </c>
      <c r="B20" s="642">
        <f>SI_1!G82</f>
        <v>0</v>
      </c>
      <c r="C20" s="643">
        <f>'t11'!E28+'t11'!F28</f>
        <v>0</v>
      </c>
      <c r="D20" s="761" t="str">
        <f>(IF(AND(C20=0,B20&gt;0),"Mancano le assenze per questa causale",IF(AND(C20&gt;0,B20=0),"Dichiarare Somme nella domanda della Scheda Informativa 1","OK")))</f>
        <v>OK</v>
      </c>
    </row>
  </sheetData>
  <sheetProtection password="DD41" sheet="1" formatColumns="0" selectLockedCells="1" selectUnlockedCells="1"/>
  <mergeCells count="5">
    <mergeCell ref="A1:D1"/>
    <mergeCell ref="A3:D3"/>
    <mergeCell ref="A11:D11"/>
    <mergeCell ref="A18:D18"/>
    <mergeCell ref="A2:D2"/>
  </mergeCells>
  <conditionalFormatting sqref="D5:D7 D13:D14 D20">
    <cfRule type="notContainsText" dxfId="2" priority="1" stopIfTrue="1" operator="notContains" text="ok">
      <formula>ISERROR(SEARCH("ok",D5))</formula>
    </cfRule>
  </conditionalFormatting>
  <printOptions horizontalCentered="1" verticalCentered="1"/>
  <pageMargins left="0" right="0" top="0.19685039370078741" bottom="0.31496062992125984" header="0.51181102362204722" footer="0.51181102362204722"/>
  <pageSetup paperSize="9" scale="90" orientation="landscape" horizontalDpi="300" verticalDpi="4294967292"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Foglio44">
    <pageSetUpPr fitToPage="1"/>
  </sheetPr>
  <dimension ref="A1:K25"/>
  <sheetViews>
    <sheetView showGridLines="0" workbookViewId="0">
      <pane xSplit="2" ySplit="5" topLeftCell="C6" activePane="bottomRight" state="frozen"/>
      <selection activeCell="A2" sqref="A2"/>
      <selection pane="topRight" activeCell="A2" sqref="A2"/>
      <selection pane="bottomLeft" activeCell="A2" sqref="A2"/>
      <selection pane="bottomRight" activeCell="B2" sqref="B2"/>
    </sheetView>
  </sheetViews>
  <sheetFormatPr defaultRowHeight="10.199999999999999" x14ac:dyDescent="0.2"/>
  <cols>
    <col min="1" max="1" width="41.42578125" style="3" customWidth="1"/>
    <col min="2" max="2" width="10" style="2" customWidth="1"/>
    <col min="3" max="3" width="11.7109375" style="2" customWidth="1"/>
    <col min="4" max="5" width="14" style="2" customWidth="1"/>
    <col min="6" max="6" width="11.7109375" style="2" customWidth="1"/>
    <col min="7" max="7" width="13.7109375" style="2" customWidth="1"/>
    <col min="8" max="8" width="16.7109375" style="2" hidden="1" customWidth="1"/>
    <col min="9" max="9" width="63.28515625" customWidth="1"/>
  </cols>
  <sheetData>
    <row r="1" spans="1:11" s="3" customFormat="1" ht="43.5" customHeight="1" x14ac:dyDescent="0.2">
      <c r="A1" s="1463" t="str">
        <f>'t1'!A1</f>
        <v>ENTI PUBBLICI NON ECONOMICI - anno 2023</v>
      </c>
      <c r="B1" s="1463"/>
      <c r="C1" s="1463"/>
      <c r="D1" s="1463"/>
      <c r="E1" s="1463"/>
      <c r="F1" s="1463"/>
      <c r="G1" s="1463"/>
      <c r="H1" s="1463"/>
      <c r="I1" s="1463"/>
      <c r="K1"/>
    </row>
    <row r="2" spans="1:11" s="3" customFormat="1" ht="12.75" customHeight="1" x14ac:dyDescent="0.2">
      <c r="D2" s="1547"/>
      <c r="E2" s="1547"/>
      <c r="F2" s="1547"/>
      <c r="G2" s="1547"/>
      <c r="H2" s="514"/>
      <c r="K2"/>
    </row>
    <row r="3" spans="1:11" s="3" customFormat="1" ht="44.1" customHeight="1" x14ac:dyDescent="0.25">
      <c r="A3" s="1649" t="s">
        <v>636</v>
      </c>
      <c r="B3" s="1649"/>
      <c r="C3" s="1649"/>
      <c r="D3" s="1649"/>
      <c r="E3" s="1649"/>
      <c r="F3" s="1649"/>
      <c r="G3" s="1649"/>
      <c r="H3" s="1649"/>
      <c r="I3" s="1649"/>
    </row>
    <row r="4" spans="1:11" ht="61.2" x14ac:dyDescent="0.2">
      <c r="A4" s="515" t="s">
        <v>218</v>
      </c>
      <c r="B4" s="516" t="s">
        <v>180</v>
      </c>
      <c r="C4" s="516" t="s">
        <v>37</v>
      </c>
      <c r="D4" s="516" t="s">
        <v>637</v>
      </c>
      <c r="E4" s="516" t="s">
        <v>638</v>
      </c>
      <c r="F4" s="516" t="s">
        <v>39</v>
      </c>
      <c r="G4" s="516" t="s">
        <v>639</v>
      </c>
      <c r="H4" s="516" t="s">
        <v>408</v>
      </c>
      <c r="I4" s="516" t="s">
        <v>393</v>
      </c>
    </row>
    <row r="5" spans="1:11" s="176" customFormat="1" ht="40.799999999999997" hidden="1" x14ac:dyDescent="0.2">
      <c r="A5" s="159"/>
      <c r="B5" s="171"/>
      <c r="C5" s="171" t="s">
        <v>182</v>
      </c>
      <c r="D5" s="171"/>
      <c r="E5" s="171"/>
      <c r="F5" s="171" t="s">
        <v>184</v>
      </c>
      <c r="G5" s="171"/>
      <c r="H5" s="558" t="s">
        <v>526</v>
      </c>
      <c r="I5" s="560"/>
    </row>
    <row r="6" spans="1:11" ht="13.2" x14ac:dyDescent="0.25">
      <c r="A6" s="118" t="str">
        <f>'t1'!A6</f>
        <v>DIRETTORE GENERALE</v>
      </c>
      <c r="B6" s="92" t="str">
        <f>'t1'!B6</f>
        <v>0D0097</v>
      </c>
      <c r="C6" s="765">
        <f>'t11'!W8+'t11'!X8</f>
        <v>0</v>
      </c>
      <c r="D6" s="765">
        <f>(C6-'t11'!Q8-'t11'!R8-'t11'!S8-'t11'!T8-'t11'!U8-'t11'!V8)</f>
        <v>0</v>
      </c>
      <c r="E6" s="828">
        <f>'t12'!C6/12</f>
        <v>0</v>
      </c>
      <c r="F6" s="765">
        <f>'t3'!K6+'t3'!L6+'t3'!M6+'t3'!N6+'t3'!O6+'t3'!P6</f>
        <v>0</v>
      </c>
      <c r="G6" s="335" t="str">
        <f t="shared" ref="G6:G25" si="0">IF(H6="OK","OK","ERRORE")</f>
        <v>OK</v>
      </c>
      <c r="H6" s="335" t="str">
        <f t="shared" ref="H6:H25" si="1">IF(((E6+F6)*273)&lt;(D6),"KO","OK")</f>
        <v>OK</v>
      </c>
      <c r="I6" s="561" t="str">
        <f>IF(H6="KO",($H$5&amp;(('t12'!C6/12*273)+(('t3'!K6+'t3'!L6+'t3'!M6+'t3'!N6+'t3'!O6+'t3'!P6)*273))&amp;")"),"")</f>
        <v/>
      </c>
    </row>
    <row r="7" spans="1:11" ht="13.2" x14ac:dyDescent="0.25">
      <c r="A7" s="118" t="str">
        <f>'t1'!A7</f>
        <v>DIRIGENTE I FASCIA</v>
      </c>
      <c r="B7" s="92" t="str">
        <f>'t1'!B7</f>
        <v>0D0077</v>
      </c>
      <c r="C7" s="765">
        <f>'t11'!W9+'t11'!X9</f>
        <v>0</v>
      </c>
      <c r="D7" s="765">
        <f>(C7-'t11'!Q9-'t11'!R9-'t11'!S9-'t11'!T9-'t11'!U9-'t11'!V9)</f>
        <v>0</v>
      </c>
      <c r="E7" s="828">
        <f>'t12'!C7/12</f>
        <v>0</v>
      </c>
      <c r="F7" s="765">
        <f>'t3'!K7+'t3'!L7+'t3'!M7+'t3'!N7+'t3'!O7+'t3'!P7</f>
        <v>0</v>
      </c>
      <c r="G7" s="335" t="str">
        <f t="shared" si="0"/>
        <v>OK</v>
      </c>
      <c r="H7" s="335" t="str">
        <f t="shared" si="1"/>
        <v>OK</v>
      </c>
      <c r="I7" s="561" t="str">
        <f>IF(H7="KO",($H$5&amp;(('t12'!C7/12*273)+(('t3'!K7+'t3'!L7+'t3'!M7+'t3'!N7+'t3'!O7+'t3'!P7)*273))&amp;")"),"")</f>
        <v/>
      </c>
    </row>
    <row r="8" spans="1:11" ht="13.2" x14ac:dyDescent="0.25">
      <c r="A8" s="118" t="str">
        <f>'t1'!A8</f>
        <v>DIRIGENTE I FASCIA A TEMPO DETERM.</v>
      </c>
      <c r="B8" s="92" t="str">
        <f>'t1'!B8</f>
        <v>0D0078</v>
      </c>
      <c r="C8" s="765">
        <f>'t11'!W10+'t11'!X10</f>
        <v>0</v>
      </c>
      <c r="D8" s="765">
        <f>(C8-'t11'!Q10-'t11'!R10-'t11'!S10-'t11'!T10-'t11'!U10-'t11'!V10)</f>
        <v>0</v>
      </c>
      <c r="E8" s="828">
        <f>'t12'!C8/12</f>
        <v>0</v>
      </c>
      <c r="F8" s="765">
        <f>'t3'!K8+'t3'!L8+'t3'!M8+'t3'!N8+'t3'!O8+'t3'!P8</f>
        <v>0</v>
      </c>
      <c r="G8" s="335" t="str">
        <f t="shared" si="0"/>
        <v>OK</v>
      </c>
      <c r="H8" s="335" t="str">
        <f t="shared" si="1"/>
        <v>OK</v>
      </c>
      <c r="I8" s="561" t="str">
        <f>IF(H8="KO",($H$5&amp;(('t12'!C8/12*273)+(('t3'!K8+'t3'!L8+'t3'!M8+'t3'!N8+'t3'!O8+'t3'!P8)*273))&amp;")"),"")</f>
        <v/>
      </c>
    </row>
    <row r="9" spans="1:11" ht="13.2" x14ac:dyDescent="0.25">
      <c r="A9" s="118" t="str">
        <f>'t1'!A9</f>
        <v>DIRIGENTE II FASCIA</v>
      </c>
      <c r="B9" s="92" t="str">
        <f>'t1'!B9</f>
        <v>0D0079</v>
      </c>
      <c r="C9" s="765">
        <f>'t11'!W11+'t11'!X11</f>
        <v>0</v>
      </c>
      <c r="D9" s="765">
        <f>(C9-'t11'!Q11-'t11'!R11-'t11'!S11-'t11'!T11-'t11'!U11-'t11'!V11)</f>
        <v>0</v>
      </c>
      <c r="E9" s="828">
        <f>'t12'!C9/12</f>
        <v>0</v>
      </c>
      <c r="F9" s="765">
        <f>'t3'!K9+'t3'!L9+'t3'!M9+'t3'!N9+'t3'!O9+'t3'!P9</f>
        <v>0</v>
      </c>
      <c r="G9" s="335" t="str">
        <f t="shared" si="0"/>
        <v>OK</v>
      </c>
      <c r="H9" s="335" t="str">
        <f t="shared" si="1"/>
        <v>OK</v>
      </c>
      <c r="I9" s="561" t="str">
        <f>IF(H9="KO",($H$5&amp;(('t12'!C9/12*273)+(('t3'!K9+'t3'!L9+'t3'!M9+'t3'!N9+'t3'!O9+'t3'!P9)*273))&amp;")"),"")</f>
        <v/>
      </c>
    </row>
    <row r="10" spans="1:11" ht="13.2" x14ac:dyDescent="0.25">
      <c r="A10" s="118" t="str">
        <f>'t1'!A10</f>
        <v>DIRIGENTE II FASCIA A TEMPO DETERM.</v>
      </c>
      <c r="B10" s="92" t="str">
        <f>'t1'!B10</f>
        <v>0D0080</v>
      </c>
      <c r="C10" s="765">
        <f>'t11'!W12+'t11'!X12</f>
        <v>0</v>
      </c>
      <c r="D10" s="765">
        <f>(C10-'t11'!Q12-'t11'!R12-'t11'!S12-'t11'!T12-'t11'!U12-'t11'!V12)</f>
        <v>0</v>
      </c>
      <c r="E10" s="828">
        <f>'t12'!C10/12</f>
        <v>0</v>
      </c>
      <c r="F10" s="765">
        <f>'t3'!K10+'t3'!L10+'t3'!M10+'t3'!N10+'t3'!O10+'t3'!P10</f>
        <v>0</v>
      </c>
      <c r="G10" s="335" t="str">
        <f t="shared" si="0"/>
        <v>OK</v>
      </c>
      <c r="H10" s="335" t="str">
        <f t="shared" si="1"/>
        <v>OK</v>
      </c>
      <c r="I10" s="561" t="str">
        <f>IF(H10="KO",($H$5&amp;(('t12'!C10/12*273)+(('t3'!K10+'t3'!L10+'t3'!M10+'t3'!N10+'t3'!O10+'t3'!P10)*273))&amp;")"),"")</f>
        <v/>
      </c>
    </row>
    <row r="11" spans="1:11" ht="13.2" x14ac:dyDescent="0.25">
      <c r="A11" s="118" t="str">
        <f>'t1'!A11</f>
        <v>MEDICO II FASCIA T.P.</v>
      </c>
      <c r="B11" s="92" t="str">
        <f>'t1'!B11</f>
        <v>0D0584</v>
      </c>
      <c r="C11" s="765">
        <f>'t11'!W13+'t11'!X13</f>
        <v>0</v>
      </c>
      <c r="D11" s="765">
        <f>(C11-'t11'!Q13-'t11'!R13-'t11'!S13-'t11'!T13-'t11'!U13-'t11'!V13)</f>
        <v>0</v>
      </c>
      <c r="E11" s="828">
        <f>'t12'!C11/12</f>
        <v>0</v>
      </c>
      <c r="F11" s="765">
        <f>'t3'!K11+'t3'!L11+'t3'!M11+'t3'!N11+'t3'!O11+'t3'!P11</f>
        <v>0</v>
      </c>
      <c r="G11" s="335" t="str">
        <f t="shared" si="0"/>
        <v>OK</v>
      </c>
      <c r="H11" s="335" t="str">
        <f t="shared" si="1"/>
        <v>OK</v>
      </c>
      <c r="I11" s="561" t="str">
        <f>IF(H11="KO",($H$5&amp;(('t12'!C11/12*273)+(('t3'!K11+'t3'!L11+'t3'!M11+'t3'!N11+'t3'!O11+'t3'!P11)*273))&amp;")"),"")</f>
        <v/>
      </c>
    </row>
    <row r="12" spans="1:11" ht="13.2" x14ac:dyDescent="0.25">
      <c r="A12" s="118" t="str">
        <f>'t1'!A12</f>
        <v>MEDICO I FASCIA T.P.</v>
      </c>
      <c r="B12" s="92" t="str">
        <f>'t1'!B12</f>
        <v>0D0585</v>
      </c>
      <c r="C12" s="765">
        <f>'t11'!W14+'t11'!X14</f>
        <v>0</v>
      </c>
      <c r="D12" s="765">
        <f>(C12-'t11'!Q14-'t11'!R14-'t11'!S14-'t11'!T14-'t11'!U14-'t11'!V14)</f>
        <v>0</v>
      </c>
      <c r="E12" s="828">
        <f>'t12'!C12/12</f>
        <v>0</v>
      </c>
      <c r="F12" s="765">
        <f>'t3'!K12+'t3'!L12+'t3'!M12+'t3'!N12+'t3'!O12+'t3'!P12</f>
        <v>0</v>
      </c>
      <c r="G12" s="335" t="str">
        <f t="shared" si="0"/>
        <v>OK</v>
      </c>
      <c r="H12" s="335" t="str">
        <f t="shared" si="1"/>
        <v>OK</v>
      </c>
      <c r="I12" s="561" t="str">
        <f>IF(H12="KO",($H$5&amp;(('t12'!C12/12*273)+(('t3'!K12+'t3'!L12+'t3'!M12+'t3'!N12+'t3'!O12+'t3'!P12)*273))&amp;")"),"")</f>
        <v/>
      </c>
    </row>
    <row r="13" spans="1:11" ht="13.2" x14ac:dyDescent="0.25">
      <c r="A13" s="118" t="str">
        <f>'t1'!A13</f>
        <v>MEDICO II FASCIA T.D.</v>
      </c>
      <c r="B13" s="92" t="str">
        <f>'t1'!B13</f>
        <v>0D0586</v>
      </c>
      <c r="C13" s="765">
        <f>'t11'!W15+'t11'!X15</f>
        <v>0</v>
      </c>
      <c r="D13" s="765">
        <f>(C13-'t11'!Q15-'t11'!R15-'t11'!S15-'t11'!T15-'t11'!U15-'t11'!V15)</f>
        <v>0</v>
      </c>
      <c r="E13" s="828">
        <f>'t12'!C13/12</f>
        <v>0</v>
      </c>
      <c r="F13" s="765">
        <f>'t3'!K13+'t3'!L13+'t3'!M13+'t3'!N13+'t3'!O13+'t3'!P13</f>
        <v>0</v>
      </c>
      <c r="G13" s="335" t="str">
        <f t="shared" si="0"/>
        <v>OK</v>
      </c>
      <c r="H13" s="335" t="str">
        <f t="shared" si="1"/>
        <v>OK</v>
      </c>
      <c r="I13" s="561" t="str">
        <f>IF(H13="KO",($H$5&amp;(('t12'!C13/12*273)+(('t3'!K13+'t3'!L13+'t3'!M13+'t3'!N13+'t3'!O13+'t3'!P13)*273))&amp;")"),"")</f>
        <v/>
      </c>
    </row>
    <row r="14" spans="1:11" ht="13.2" x14ac:dyDescent="0.25">
      <c r="A14" s="118" t="str">
        <f>'t1'!A14</f>
        <v>MEDICO I FASCIA T.D.</v>
      </c>
      <c r="B14" s="92" t="str">
        <f>'t1'!B14</f>
        <v>0D0496</v>
      </c>
      <c r="C14" s="765">
        <f>'t11'!W16+'t11'!X16</f>
        <v>0</v>
      </c>
      <c r="D14" s="765">
        <f>(C14-'t11'!Q16-'t11'!R16-'t11'!S16-'t11'!T16-'t11'!U16-'t11'!V16)</f>
        <v>0</v>
      </c>
      <c r="E14" s="828">
        <f>'t12'!C14/12</f>
        <v>0</v>
      </c>
      <c r="F14" s="765">
        <f>'t3'!K14+'t3'!L14+'t3'!M14+'t3'!N14+'t3'!O14+'t3'!P14</f>
        <v>0</v>
      </c>
      <c r="G14" s="335" t="str">
        <f t="shared" si="0"/>
        <v>OK</v>
      </c>
      <c r="H14" s="335" t="str">
        <f t="shared" si="1"/>
        <v>OK</v>
      </c>
      <c r="I14" s="561" t="str">
        <f>IF(H14="KO",($H$5&amp;(('t12'!C14/12*273)+(('t3'!K14+'t3'!L14+'t3'!M14+'t3'!N14+'t3'!O14+'t3'!P14)*273))&amp;")"),"")</f>
        <v/>
      </c>
    </row>
    <row r="15" spans="1:11" ht="13.2" x14ac:dyDescent="0.25">
      <c r="A15" s="118" t="str">
        <f>'t1'!A15</f>
        <v>PROF.STI LEGALI LIV. II DIFF.</v>
      </c>
      <c r="B15" s="92" t="str">
        <f>'t1'!B15</f>
        <v>0D0473</v>
      </c>
      <c r="C15" s="765">
        <f>'t11'!W17+'t11'!X17</f>
        <v>0</v>
      </c>
      <c r="D15" s="765">
        <f>(C15-'t11'!Q17-'t11'!R17-'t11'!S17-'t11'!T17-'t11'!U17-'t11'!V17)</f>
        <v>0</v>
      </c>
      <c r="E15" s="828">
        <f>'t12'!C15/12</f>
        <v>0</v>
      </c>
      <c r="F15" s="765">
        <f>'t3'!K15+'t3'!L15+'t3'!M15+'t3'!N15+'t3'!O15+'t3'!P15</f>
        <v>0</v>
      </c>
      <c r="G15" s="335" t="str">
        <f t="shared" si="0"/>
        <v>OK</v>
      </c>
      <c r="H15" s="335" t="str">
        <f t="shared" si="1"/>
        <v>OK</v>
      </c>
      <c r="I15" s="561" t="str">
        <f>IF(H15="KO",($H$5&amp;(('t12'!C15/12*273)+(('t3'!K15+'t3'!L15+'t3'!M15+'t3'!N15+'t3'!O15+'t3'!P15)*273))&amp;")"),"")</f>
        <v/>
      </c>
    </row>
    <row r="16" spans="1:11" ht="13.2" x14ac:dyDescent="0.25">
      <c r="A16" s="118" t="str">
        <f>'t1'!A16</f>
        <v>PROF.STI LEGALI LIV. I DIFF.</v>
      </c>
      <c r="B16" s="92" t="str">
        <f>'t1'!B16</f>
        <v>0D0472</v>
      </c>
      <c r="C16" s="765">
        <f>'t11'!W18+'t11'!X18</f>
        <v>0</v>
      </c>
      <c r="D16" s="765">
        <f>(C16-'t11'!Q18-'t11'!R18-'t11'!S18-'t11'!T18-'t11'!U18-'t11'!V18)</f>
        <v>0</v>
      </c>
      <c r="E16" s="828">
        <f>'t12'!C16/12</f>
        <v>0</v>
      </c>
      <c r="F16" s="765">
        <f>'t3'!K16+'t3'!L16+'t3'!M16+'t3'!N16+'t3'!O16+'t3'!P16</f>
        <v>0</v>
      </c>
      <c r="G16" s="335" t="str">
        <f t="shared" si="0"/>
        <v>OK</v>
      </c>
      <c r="H16" s="335" t="str">
        <f t="shared" si="1"/>
        <v>OK</v>
      </c>
      <c r="I16" s="561" t="str">
        <f>IF(H16="KO",($H$5&amp;(('t12'!C16/12*273)+(('t3'!K16+'t3'!L16+'t3'!M16+'t3'!N16+'t3'!O16+'t3'!P16)*273))&amp;")"),"")</f>
        <v/>
      </c>
    </row>
    <row r="17" spans="1:9" ht="13.2" x14ac:dyDescent="0.25">
      <c r="A17" s="118" t="str">
        <f>'t1'!A17</f>
        <v>PROF.STI LEGALI</v>
      </c>
      <c r="B17" s="92" t="str">
        <f>'t1'!B17</f>
        <v>0D0084</v>
      </c>
      <c r="C17" s="765">
        <f>'t11'!W19+'t11'!X19</f>
        <v>0</v>
      </c>
      <c r="D17" s="765">
        <f>(C17-'t11'!Q19-'t11'!R19-'t11'!S19-'t11'!T19-'t11'!U19-'t11'!V19)</f>
        <v>0</v>
      </c>
      <c r="E17" s="828">
        <f>'t12'!C17/12</f>
        <v>0</v>
      </c>
      <c r="F17" s="765">
        <f>'t3'!K17+'t3'!L17+'t3'!M17+'t3'!N17+'t3'!O17+'t3'!P17</f>
        <v>0</v>
      </c>
      <c r="G17" s="335" t="str">
        <f t="shared" si="0"/>
        <v>OK</v>
      </c>
      <c r="H17" s="335" t="str">
        <f t="shared" si="1"/>
        <v>OK</v>
      </c>
      <c r="I17" s="561" t="str">
        <f>IF(H17="KO",($H$5&amp;(('t12'!C17/12*273)+(('t3'!K17+'t3'!L17+'t3'!M17+'t3'!N17+'t3'!O17+'t3'!P17)*273))&amp;")"),"")</f>
        <v/>
      </c>
    </row>
    <row r="18" spans="1:9" ht="13.2" x14ac:dyDescent="0.25">
      <c r="A18" s="118" t="str">
        <f>'t1'!A18</f>
        <v>ALTRI PROF.STI LIV. II DIFF.</v>
      </c>
      <c r="B18" s="92" t="str">
        <f>'t1'!B18</f>
        <v>0D0481</v>
      </c>
      <c r="C18" s="765">
        <f>'t11'!W20+'t11'!X20</f>
        <v>0</v>
      </c>
      <c r="D18" s="765">
        <f>(C18-'t11'!Q20-'t11'!R20-'t11'!S20-'t11'!T20-'t11'!U20-'t11'!V20)</f>
        <v>0</v>
      </c>
      <c r="E18" s="828">
        <f>'t12'!C18/12</f>
        <v>0</v>
      </c>
      <c r="F18" s="765">
        <f>'t3'!K18+'t3'!L18+'t3'!M18+'t3'!N18+'t3'!O18+'t3'!P18</f>
        <v>0</v>
      </c>
      <c r="G18" s="335" t="str">
        <f t="shared" si="0"/>
        <v>OK</v>
      </c>
      <c r="H18" s="335" t="str">
        <f t="shared" si="1"/>
        <v>OK</v>
      </c>
      <c r="I18" s="561" t="str">
        <f>IF(H18="KO",($H$5&amp;(('t12'!C18/12*273)+(('t3'!K18+'t3'!L18+'t3'!M18+'t3'!N18+'t3'!O18+'t3'!P18)*273))&amp;")"),"")</f>
        <v/>
      </c>
    </row>
    <row r="19" spans="1:9" ht="13.2" x14ac:dyDescent="0.25">
      <c r="A19" s="118" t="str">
        <f>'t1'!A19</f>
        <v>ALTRI PROF.STI LIV. I DIFF.</v>
      </c>
      <c r="B19" s="92" t="str">
        <f>'t1'!B19</f>
        <v>0D0480</v>
      </c>
      <c r="C19" s="765">
        <f>'t11'!W21+'t11'!X21</f>
        <v>0</v>
      </c>
      <c r="D19" s="765">
        <f>(C19-'t11'!Q21-'t11'!R21-'t11'!S21-'t11'!T21-'t11'!U21-'t11'!V21)</f>
        <v>0</v>
      </c>
      <c r="E19" s="828">
        <f>'t12'!C19/12</f>
        <v>0</v>
      </c>
      <c r="F19" s="765">
        <f>'t3'!K19+'t3'!L19+'t3'!M19+'t3'!N19+'t3'!O19+'t3'!P19</f>
        <v>0</v>
      </c>
      <c r="G19" s="335" t="str">
        <f t="shared" si="0"/>
        <v>OK</v>
      </c>
      <c r="H19" s="335" t="str">
        <f t="shared" si="1"/>
        <v>OK</v>
      </c>
      <c r="I19" s="561" t="str">
        <f>IF(H19="KO",($H$5&amp;(('t12'!C19/12*273)+(('t3'!K19+'t3'!L19+'t3'!M19+'t3'!N19+'t3'!O19+'t3'!P19)*273))&amp;")"),"")</f>
        <v/>
      </c>
    </row>
    <row r="20" spans="1:9" ht="13.2" x14ac:dyDescent="0.25">
      <c r="A20" s="118" t="str">
        <f>'t1'!A20</f>
        <v>ALTRI PROF.STI</v>
      </c>
      <c r="B20" s="92" t="str">
        <f>'t1'!B20</f>
        <v>0D0075</v>
      </c>
      <c r="C20" s="765">
        <f>'t11'!W22+'t11'!X22</f>
        <v>0</v>
      </c>
      <c r="D20" s="765">
        <f>(C20-'t11'!Q22-'t11'!R22-'t11'!S22-'t11'!T22-'t11'!U22-'t11'!V22)</f>
        <v>0</v>
      </c>
      <c r="E20" s="828">
        <f>'t12'!C20/12</f>
        <v>0</v>
      </c>
      <c r="F20" s="765">
        <f>'t3'!K20+'t3'!L20+'t3'!M20+'t3'!N20+'t3'!O20+'t3'!P20</f>
        <v>0</v>
      </c>
      <c r="G20" s="335" t="str">
        <f t="shared" si="0"/>
        <v>OK</v>
      </c>
      <c r="H20" s="335" t="str">
        <f t="shared" si="1"/>
        <v>OK</v>
      </c>
      <c r="I20" s="561" t="str">
        <f>IF(H20="KO",($H$5&amp;(('t12'!C20/12*273)+(('t3'!K20+'t3'!L20+'t3'!M20+'t3'!N20+'t3'!O20+'t3'!P20)*273))&amp;")"),"")</f>
        <v/>
      </c>
    </row>
    <row r="21" spans="1:9" ht="13.2" x14ac:dyDescent="0.25">
      <c r="A21" s="118" t="str">
        <f>'t1'!A21</f>
        <v>ELEVATE PROFESSIONALITA'</v>
      </c>
      <c r="B21" s="92" t="str">
        <f>'t1'!B21</f>
        <v>0EP981</v>
      </c>
      <c r="C21" s="765">
        <f>'t11'!W23+'t11'!X23</f>
        <v>0</v>
      </c>
      <c r="D21" s="765">
        <f>(C21-'t11'!Q23-'t11'!R23-'t11'!S23-'t11'!T23-'t11'!U23-'t11'!V23)</f>
        <v>0</v>
      </c>
      <c r="E21" s="828">
        <f>'t12'!C21/12</f>
        <v>0</v>
      </c>
      <c r="F21" s="765">
        <f>'t3'!K21+'t3'!L21+'t3'!M21+'t3'!N21+'t3'!O21+'t3'!P21</f>
        <v>0</v>
      </c>
      <c r="G21" s="335" t="str">
        <f>IF(H21="OK","OK","ERRORE")</f>
        <v>OK</v>
      </c>
      <c r="H21" s="335" t="str">
        <f>IF(((E21+F21)*273)&lt;(D21),"KO","OK")</f>
        <v>OK</v>
      </c>
      <c r="I21" s="561" t="str">
        <f>IF(H21="KO",($H$5&amp;(('t12'!C21/12*273)+(('t3'!K21+'t3'!L21+'t3'!M21+'t3'!N21+'t3'!O21+'t3'!P21)*273))&amp;")"),"")</f>
        <v/>
      </c>
    </row>
    <row r="22" spans="1:9" ht="13.2" x14ac:dyDescent="0.25">
      <c r="A22" s="118" t="str">
        <f>'t1'!A22</f>
        <v>FUNZIONARI</v>
      </c>
      <c r="B22" s="92" t="str">
        <f>'t1'!B22</f>
        <v>0FZ000</v>
      </c>
      <c r="C22" s="765">
        <f>'t11'!W24+'t11'!X24</f>
        <v>0</v>
      </c>
      <c r="D22" s="765">
        <f>(C22-'t11'!Q24-'t11'!R24-'t11'!S24-'t11'!T24-'t11'!U24-'t11'!V24)</f>
        <v>0</v>
      </c>
      <c r="E22" s="828">
        <f>'t12'!C22/12</f>
        <v>0</v>
      </c>
      <c r="F22" s="765">
        <f>'t3'!K22+'t3'!L22+'t3'!M22+'t3'!N22+'t3'!O22+'t3'!P22</f>
        <v>0</v>
      </c>
      <c r="G22" s="335" t="str">
        <f>IF(H22="OK","OK","ERRORE")</f>
        <v>OK</v>
      </c>
      <c r="H22" s="335" t="str">
        <f>IF(((E22+F22)*273)&lt;(D22),"KO","OK")</f>
        <v>OK</v>
      </c>
      <c r="I22" s="561" t="str">
        <f>IF(H22="KO",($H$5&amp;(('t12'!C22/12*273)+(('t3'!K22+'t3'!L22+'t3'!M22+'t3'!N22+'t3'!O22+'t3'!P22)*273))&amp;")"),"")</f>
        <v/>
      </c>
    </row>
    <row r="23" spans="1:9" ht="13.2" x14ac:dyDescent="0.25">
      <c r="A23" s="118" t="str">
        <f>'t1'!A23</f>
        <v>ASSISTENTI</v>
      </c>
      <c r="B23" s="92" t="str">
        <f>'t1'!B23</f>
        <v>0AS000</v>
      </c>
      <c r="C23" s="765">
        <f>'t11'!W25+'t11'!X25</f>
        <v>0</v>
      </c>
      <c r="D23" s="765">
        <f>(C23-'t11'!Q25-'t11'!R25-'t11'!S25-'t11'!T25-'t11'!U25-'t11'!V25)</f>
        <v>0</v>
      </c>
      <c r="E23" s="828">
        <f>'t12'!C23/12</f>
        <v>0</v>
      </c>
      <c r="F23" s="765">
        <f>'t3'!K23+'t3'!L23+'t3'!M23+'t3'!N23+'t3'!O23+'t3'!P23</f>
        <v>0</v>
      </c>
      <c r="G23" s="335" t="str">
        <f>IF(H23="OK","OK","ERRORE")</f>
        <v>OK</v>
      </c>
      <c r="H23" s="335" t="str">
        <f>IF(((E23+F23)*273)&lt;(D23),"KO","OK")</f>
        <v>OK</v>
      </c>
      <c r="I23" s="561" t="str">
        <f>IF(H23="KO",($H$5&amp;(('t12'!C23/12*273)+(('t3'!K23+'t3'!L23+'t3'!M23+'t3'!N23+'t3'!O23+'t3'!P23)*273))&amp;")"),"")</f>
        <v/>
      </c>
    </row>
    <row r="24" spans="1:9" ht="13.2" x14ac:dyDescent="0.25">
      <c r="A24" s="118" t="str">
        <f>'t1'!A24</f>
        <v>OPERATORI</v>
      </c>
      <c r="B24" s="92" t="str">
        <f>'t1'!B24</f>
        <v>0OP000</v>
      </c>
      <c r="C24" s="765">
        <f>'t11'!W26+'t11'!X26</f>
        <v>0</v>
      </c>
      <c r="D24" s="765">
        <f>(C24-'t11'!Q26-'t11'!R26-'t11'!S26-'t11'!T26-'t11'!U26-'t11'!V26)</f>
        <v>0</v>
      </c>
      <c r="E24" s="828">
        <f>'t12'!C24/12</f>
        <v>0</v>
      </c>
      <c r="F24" s="765">
        <f>'t3'!K24+'t3'!L24+'t3'!M24+'t3'!N24+'t3'!O24+'t3'!P24</f>
        <v>0</v>
      </c>
      <c r="G24" s="335" t="str">
        <f>IF(H24="OK","OK","ERRORE")</f>
        <v>OK</v>
      </c>
      <c r="H24" s="335" t="str">
        <f>IF(((E24+F24)*273)&lt;(D24),"KO","OK")</f>
        <v>OK</v>
      </c>
      <c r="I24" s="561" t="str">
        <f>IF(H24="KO",($H$5&amp;(('t12'!C24/12*273)+(('t3'!K24+'t3'!L24+'t3'!M24+'t3'!N24+'t3'!O24+'t3'!P24)*273))&amp;")"),"")</f>
        <v/>
      </c>
    </row>
    <row r="25" spans="1:9" ht="13.2" x14ac:dyDescent="0.25">
      <c r="A25" s="118" t="str">
        <f>'t1'!A25</f>
        <v>CONTRATTISTI</v>
      </c>
      <c r="B25" s="92" t="str">
        <f>'t1'!B25</f>
        <v>000061</v>
      </c>
      <c r="C25" s="765">
        <f>'t11'!W27+'t11'!X27</f>
        <v>0</v>
      </c>
      <c r="D25" s="765">
        <f>(C25-'t11'!Q27-'t11'!R27-'t11'!S27-'t11'!T27-'t11'!U27-'t11'!V27)</f>
        <v>0</v>
      </c>
      <c r="E25" s="828">
        <f>'t12'!C25/12</f>
        <v>0</v>
      </c>
      <c r="F25" s="765">
        <f>'t3'!K25+'t3'!L25+'t3'!M25+'t3'!N25+'t3'!O25+'t3'!P25</f>
        <v>0</v>
      </c>
      <c r="G25" s="335" t="str">
        <f t="shared" si="0"/>
        <v>OK</v>
      </c>
      <c r="H25" s="335" t="str">
        <f t="shared" si="1"/>
        <v>OK</v>
      </c>
      <c r="I25" s="561" t="str">
        <f>IF(H25="KO",($H$5&amp;(('t12'!C25/12*273)+(('t3'!#REF!+'t3'!#REF!+'t3'!#REF!+'t3'!#REF!+'t3'!#REF!+'t3'!#REF!)*273))&amp;")"),"")</f>
        <v/>
      </c>
    </row>
  </sheetData>
  <sheetProtection algorithmName="SHA-512" hashValue="rKMDBxyWv+VH/prtq4qOaRZDB+jHJG7myMRQijDDrBKLKNsIOCDZct3imBKr4DbDqnErT1yOKK9NAD6BFlkQ5Q==" saltValue="v6bFfh7AwGzYTOjivNW4gQ==" spinCount="100000" sheet="1" formatColumns="0" selectLockedCells="1" selectUnlockedCells="1"/>
  <mergeCells count="3">
    <mergeCell ref="A1:I1"/>
    <mergeCell ref="D2:G2"/>
    <mergeCell ref="A3:I3"/>
  </mergeCells>
  <conditionalFormatting sqref="G6:G25">
    <cfRule type="notContainsText" dxfId="1" priority="1" stopIfTrue="1" operator="notContains" text="OK">
      <formula>ISERROR(SEARCH("OK",G6))</formula>
    </cfRule>
  </conditionalFormatting>
  <printOptions horizontalCentered="1"/>
  <pageMargins left="0.2" right="0.2" top="0.19685039370078741" bottom="0.15748031496062992" header="0.15748031496062992" footer="0.15748031496062992"/>
  <pageSetup paperSize="9" scale="81"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Foglio35">
    <pageSetUpPr fitToPage="1"/>
  </sheetPr>
  <dimension ref="A1:H35"/>
  <sheetViews>
    <sheetView showGridLines="0" zoomScale="80" zoomScaleNormal="80" workbookViewId="0">
      <selection activeCell="T1" sqref="T1"/>
    </sheetView>
  </sheetViews>
  <sheetFormatPr defaultColWidth="9.28515625" defaultRowHeight="10.199999999999999" x14ac:dyDescent="0.2"/>
  <cols>
    <col min="1" max="1" width="3" style="3" customWidth="1"/>
    <col min="2" max="2" width="6.7109375" style="3" customWidth="1"/>
    <col min="3" max="3" width="66" style="3" customWidth="1"/>
    <col min="4" max="8" width="40.7109375" style="2" customWidth="1"/>
    <col min="9" max="16384" width="9.28515625" style="3"/>
  </cols>
  <sheetData>
    <row r="1" spans="1:8" ht="43.5" customHeight="1" x14ac:dyDescent="0.2">
      <c r="A1" s="1178" t="str">
        <f>'t1'!A1</f>
        <v>ENTI PUBBLICI NON ECONOMICI - anno 2023</v>
      </c>
      <c r="B1" s="1178"/>
      <c r="C1" s="1178"/>
      <c r="D1" s="1178"/>
      <c r="E1" s="1178"/>
      <c r="F1" s="1178"/>
      <c r="G1" s="1178"/>
      <c r="H1" s="1178"/>
    </row>
    <row r="2" spans="1:8" ht="21" customHeight="1" x14ac:dyDescent="0.25">
      <c r="A2" s="173" t="s">
        <v>901</v>
      </c>
      <c r="B2" s="173"/>
      <c r="C2" s="173"/>
      <c r="F2" s="3"/>
      <c r="H2" s="3"/>
    </row>
    <row r="3" spans="1:8" ht="21" customHeight="1" thickBot="1" x14ac:dyDescent="0.3">
      <c r="A3" s="1193" t="s">
        <v>902</v>
      </c>
      <c r="B3" s="173"/>
      <c r="C3" s="173"/>
      <c r="H3" s="3"/>
    </row>
    <row r="4" spans="1:8" ht="49.5" customHeight="1" thickBot="1" x14ac:dyDescent="0.25">
      <c r="A4" s="878" t="s">
        <v>654</v>
      </c>
      <c r="B4" s="879"/>
      <c r="C4" s="879"/>
      <c r="D4" s="880" t="s">
        <v>884</v>
      </c>
      <c r="E4" s="880" t="s">
        <v>885</v>
      </c>
      <c r="F4" s="880" t="s">
        <v>886</v>
      </c>
      <c r="G4" s="880" t="s">
        <v>887</v>
      </c>
      <c r="H4" s="880" t="s">
        <v>888</v>
      </c>
    </row>
    <row r="5" spans="1:8" s="93" customFormat="1" ht="60" customHeight="1" thickBot="1" x14ac:dyDescent="0.25">
      <c r="A5" s="881" t="s">
        <v>656</v>
      </c>
      <c r="B5" s="879"/>
      <c r="C5" s="882"/>
      <c r="D5" s="880" t="str">
        <f>IF(AND(D6=0,D7=0),"OK",IF(AND(D6=0,D7&gt;0),"Giustificare: il totale risorse non soggette a limite indicato nella domanda SICI - LEG398 differisce (in più o in meno) di oltre il 10% dal totale delle voci della tabella 15 qui di seguito rappresentate",IF(ABS((D7-D6)/D6)&gt;0.1,"Giustificare: totale risorse non soggette a limite domanda SICI - LEG398 differisce (in più o in meno) di oltre il 10% dal totale delle voci della tabella 15 qui di seguito rappresentate","OK")))</f>
        <v>OK</v>
      </c>
      <c r="E5" s="880" t="str">
        <f>IF(AND(E6=0,E7=0),"OK",IF(AND(E6=0,E7&gt;0),"Giustificare: il totale risorse non soggette a limite indicato nella domanda SICI - LEG398 differisce (in più o in meno) di oltre il 10% dal totale delle voci della tabella 15 qui di seguito rappresentate",IF(ABS((E7-E6)/E6)&gt;0.1,"Giustificare: totale risorse non soggette a limite domanda SICI - LEG398 differisce (in più o in meno) di oltre il 10% dal totale delle voci della tabella 15 qui di seguito rappresentate","OK")))</f>
        <v>OK</v>
      </c>
      <c r="F5" s="880" t="str">
        <f>IF(AND(F6=0,F7=0),"OK",IF(AND(F6=0,F7&gt;0),"Giustificare: il totale risorse non soggette a limite indicato nella domanda SICI - LEG398 differisce (in più o in meno) di oltre il 10% dal totale delle voci della tabella 15 qui di seguito rappresentate",IF(ABS((F7-F6)/F6)&gt;0.1,"Giustificare: totale risorse non soggette a limite domanda SICI - LEG398 differisce (in più o in meno) di oltre il 10% dal totale delle voci della tabella 15 qui di seguito rappresentate","OK")))</f>
        <v>OK</v>
      </c>
      <c r="G5" s="880" t="str">
        <f>IF(AND(G6=0,G7=0),"OK",IF(AND(G6=0,G7&gt;0),"Giustificare: il totale risorse non soggette a limite indicato nella domanda SICI - LEG398 differisce (in più o in meno) di oltre il 10% dal totale delle voci della tabella 15 qui di seguito rappresentate",IF(ABS((G7-G6)/G6)&gt;0.1,"Giustificare: totale risorse non soggette a limite domanda SICI - LEG398 differisce (in più o in meno) di oltre il 10% dal totale delle voci della tabella 15 qui di seguito rappresentate","OK")))</f>
        <v>OK</v>
      </c>
      <c r="H5" s="880" t="str">
        <f>IF(AND(H6=0,H7=0),"OK",IF(AND(H6=0,H7&gt;0),"Giustificare: il totale risorse non soggette a limite indicato nella domanda SICI - LEG398 differisce (in più o in meno) di oltre il 10% dal totale delle voci della tabella 15 qui di seguito rappresentate",IF(ABS((H7-H6)/H6)&gt;0.1,"Giustificare: totale risorse non soggette a limite domanda SICI - LEG398 differisce (in più o in meno) di oltre il 10% dal totale delle voci della tabella 15 qui di seguito rappresentate","OK")))</f>
        <v>OK</v>
      </c>
    </row>
    <row r="6" spans="1:8" s="93" customFormat="1" ht="20.100000000000001" customHeight="1" x14ac:dyDescent="0.2">
      <c r="A6" s="1209" t="s">
        <v>890</v>
      </c>
      <c r="B6" s="1210" t="s">
        <v>903</v>
      </c>
      <c r="C6" s="1210"/>
      <c r="D6" s="1211">
        <f>'SICI(1)'!F21</f>
        <v>0</v>
      </c>
      <c r="E6" s="1211">
        <f>'SICI(2)'!F25</f>
        <v>0</v>
      </c>
      <c r="F6" s="1211">
        <f>'SICI(3)'!F25</f>
        <v>0</v>
      </c>
      <c r="G6" s="1211">
        <f>'SICI(4)'!F25</f>
        <v>0</v>
      </c>
      <c r="H6" s="1211">
        <f>'SICI(5)'!F29</f>
        <v>0</v>
      </c>
    </row>
    <row r="7" spans="1:8" s="93" customFormat="1" ht="20.100000000000001" customHeight="1" x14ac:dyDescent="0.2">
      <c r="A7" s="1186" t="s">
        <v>892</v>
      </c>
      <c r="B7" s="1212" t="s">
        <v>934</v>
      </c>
      <c r="C7" s="1213"/>
      <c r="D7" s="1214">
        <f>SUM(D9:D33)</f>
        <v>0</v>
      </c>
      <c r="E7" s="1214">
        <f>SUM(E9:E33)</f>
        <v>0</v>
      </c>
      <c r="F7" s="1214">
        <f>SUM(F9:F33)</f>
        <v>0</v>
      </c>
      <c r="G7" s="1214">
        <f>SUM(G9:G33)</f>
        <v>0</v>
      </c>
      <c r="H7" s="1214">
        <f>SUM(H9:H33)</f>
        <v>0</v>
      </c>
    </row>
    <row r="8" spans="1:8" s="93" customFormat="1" ht="40.049999999999997" customHeight="1" x14ac:dyDescent="0.2">
      <c r="A8" s="1186"/>
      <c r="C8" s="1215"/>
      <c r="D8" s="1216" t="s">
        <v>908</v>
      </c>
      <c r="E8" s="1217"/>
      <c r="F8" s="1217"/>
      <c r="G8" s="1217"/>
      <c r="H8" s="1218"/>
    </row>
    <row r="9" spans="1:8" s="93" customFormat="1" ht="20.100000000000001" customHeight="1" x14ac:dyDescent="0.2">
      <c r="A9" s="1183"/>
      <c r="B9" s="1197" t="s">
        <v>852</v>
      </c>
      <c r="C9" s="1198" t="str">
        <f>INDEX('t15(1)'!$A:$A,MATCH($B9,'t15(1)'!$B:$B,0))</f>
        <v>Art 48 c 1 Ccnl 16-18 - Incrementi</v>
      </c>
      <c r="D9" s="1219">
        <f>SUMIFS('t15(1)'!$C:$C,'t15(1)'!$B:$B,'Incongruenza 15'!$B9)</f>
        <v>0</v>
      </c>
      <c r="E9" s="1220"/>
      <c r="F9" s="1221"/>
      <c r="G9" s="1221"/>
      <c r="H9" s="1222"/>
    </row>
    <row r="10" spans="1:8" s="872" customFormat="1" ht="20.100000000000001" customHeight="1" x14ac:dyDescent="0.2">
      <c r="A10" s="1183"/>
      <c r="B10" s="1197" t="s">
        <v>855</v>
      </c>
      <c r="C10" s="1198" t="str">
        <f>INDEX('t15(2)'!$A:$A,MATCH($B10,'t15(2)'!$B:$B,0))</f>
        <v>Incrementi Ccnl 16-18 (art. 51 c. 1)</v>
      </c>
      <c r="D10" s="1223"/>
      <c r="E10" s="1219">
        <f>SUMIFS('t15(2)'!$C:$C,'t15(2)'!$B:$B,'Incongruenza 15'!$B10)</f>
        <v>0</v>
      </c>
      <c r="F10" s="1224"/>
      <c r="G10" s="1225"/>
      <c r="H10" s="1226"/>
    </row>
    <row r="11" spans="1:8" s="872" customFormat="1" ht="20.100000000000001" customHeight="1" x14ac:dyDescent="0.2">
      <c r="A11" s="1183"/>
      <c r="B11" s="1197" t="s">
        <v>857</v>
      </c>
      <c r="C11" s="1198" t="str">
        <f>INDEX('t15(3)'!$A:$A,MATCH($B11,'t15(3)'!$B:$B,0))</f>
        <v>Incrementi Ccnl 16-18 (art. 97 c. 1)</v>
      </c>
      <c r="D11" s="1227"/>
      <c r="E11" s="1222"/>
      <c r="F11" s="1219">
        <f>SUMIFS('t15(3)'!$C:$C,'t15(3)'!$B:$B,'Incongruenza 15'!$B11)</f>
        <v>0</v>
      </c>
      <c r="G11" s="1224"/>
      <c r="H11" s="1226"/>
    </row>
    <row r="12" spans="1:8" s="872" customFormat="1" ht="20.100000000000001" customHeight="1" x14ac:dyDescent="0.2">
      <c r="A12" s="1183"/>
      <c r="B12" s="1197" t="s">
        <v>859</v>
      </c>
      <c r="C12" s="1198" t="str">
        <f>INDEX('t15(4)'!$A:$A,MATCH($B12,'t15(4)'!$B:$B,0))</f>
        <v>Incrementi Ccnl 16-18 (art. 89 c. 1)</v>
      </c>
      <c r="D12" s="1227"/>
      <c r="E12" s="1225"/>
      <c r="F12" s="1222"/>
      <c r="G12" s="1219">
        <f>SUMIFS('t15(4)'!$C:$C,'t15(4)'!$B:$B,'Incongruenza 15'!$B12)</f>
        <v>0</v>
      </c>
      <c r="H12" s="1228"/>
    </row>
    <row r="13" spans="1:8" s="93" customFormat="1" ht="20.100000000000001" customHeight="1" x14ac:dyDescent="0.2">
      <c r="A13" s="1183"/>
      <c r="B13" s="1197" t="s">
        <v>743</v>
      </c>
      <c r="C13" s="1198" t="str">
        <f>INDEX('t15(5)'!$A:$A,MATCH($B13,'t15(5)'!$B:$B,0))</f>
        <v>Art 76 c 3 L a) Ccnl 16-18 - Incremento da 1.1.18</v>
      </c>
      <c r="D13" s="1227"/>
      <c r="E13" s="1225"/>
      <c r="F13" s="1225"/>
      <c r="G13" s="1222"/>
      <c r="H13" s="1219">
        <f>SUMIFS('t15(5)'!$C:$C,'t15(5)'!$B:$B,'Incongruenza 15'!$B13)</f>
        <v>0</v>
      </c>
    </row>
    <row r="14" spans="1:8" s="93" customFormat="1" ht="20.100000000000001" customHeight="1" x14ac:dyDescent="0.2">
      <c r="A14" s="1183"/>
      <c r="B14" s="1197" t="s">
        <v>1020</v>
      </c>
      <c r="C14" s="1198" t="str">
        <f>INDEX('t15(5)'!$A:$A,MATCH($B14,'t15(5)'!$B:$B,0))</f>
        <v>Art 49 c 2 Ccnl 19-21 - Ris diff stip preced carico bilancio</v>
      </c>
      <c r="D14" s="1227"/>
      <c r="E14" s="1225"/>
      <c r="F14" s="1225"/>
      <c r="G14" s="1226"/>
      <c r="H14" s="1219">
        <f>SUMIFS('t15(5)'!$C:$C,'t15(5)'!$B:$B,'Incongruenza 15'!$B14)</f>
        <v>0</v>
      </c>
    </row>
    <row r="15" spans="1:8" s="93" customFormat="1" ht="20.100000000000001" customHeight="1" x14ac:dyDescent="0.2">
      <c r="A15" s="1183"/>
      <c r="B15" s="1197" t="s">
        <v>1133</v>
      </c>
      <c r="C15" s="1198" t="s">
        <v>1198</v>
      </c>
      <c r="D15" s="1219">
        <f>SUMIFS('t15(1)'!$C:$C,'t15(1)'!$B:$B,'Incongruenza 15'!$B15)</f>
        <v>0</v>
      </c>
      <c r="E15" s="1225"/>
      <c r="F15" s="1225"/>
      <c r="G15" s="1225"/>
      <c r="H15" s="1222"/>
    </row>
    <row r="16" spans="1:8" s="93" customFormat="1" ht="20.100000000000001" customHeight="1" x14ac:dyDescent="0.2">
      <c r="A16" s="1183"/>
      <c r="B16" s="1197" t="s">
        <v>1139</v>
      </c>
      <c r="C16" s="1198" t="s">
        <v>1199</v>
      </c>
      <c r="D16" s="1227"/>
      <c r="E16" s="1219">
        <f>SUMIFS('t15(2)'!$C:$C,'t15(2)'!$B:$B,'Incongruenza 15'!$B16)</f>
        <v>0</v>
      </c>
      <c r="F16" s="1225"/>
      <c r="G16" s="1225"/>
      <c r="H16" s="1226"/>
    </row>
    <row r="17" spans="1:8" s="93" customFormat="1" ht="20.100000000000001" customHeight="1" x14ac:dyDescent="0.2">
      <c r="A17" s="1183"/>
      <c r="B17" s="1197" t="s">
        <v>1141</v>
      </c>
      <c r="C17" s="1198" t="s">
        <v>1200</v>
      </c>
      <c r="D17" s="1227"/>
      <c r="E17" s="1225"/>
      <c r="F17" s="1219">
        <f>SUMIFS('t15(3)'!$C:$C,'t15(3)'!$B:$B,'Incongruenza 15'!$B17)</f>
        <v>0</v>
      </c>
      <c r="G17" s="1225"/>
      <c r="H17" s="1226"/>
    </row>
    <row r="18" spans="1:8" s="93" customFormat="1" ht="20.100000000000001" customHeight="1" x14ac:dyDescent="0.2">
      <c r="A18" s="1183"/>
      <c r="B18" s="1197" t="s">
        <v>1144</v>
      </c>
      <c r="C18" s="1198" t="s">
        <v>1201</v>
      </c>
      <c r="D18" s="1227"/>
      <c r="E18" s="1225"/>
      <c r="F18" s="1225"/>
      <c r="G18" s="1219">
        <f>SUMIFS('t15(4)'!$C:$C,'t15(4)'!$B:$B,'Incongruenza 15'!$B18)</f>
        <v>0</v>
      </c>
      <c r="H18" s="1226"/>
    </row>
    <row r="19" spans="1:8" s="93" customFormat="1" ht="20.100000000000001" customHeight="1" x14ac:dyDescent="0.2">
      <c r="A19" s="1183"/>
      <c r="B19" s="1197" t="s">
        <v>1021</v>
      </c>
      <c r="C19" s="1198" t="str">
        <f>INDEX('t15(5)'!$A:$A,MATCH($B19,'t15(5)'!$B:$B,0))</f>
        <v>Art 49 c 3 Ccnl 19-21 - Increm (in % m.s. 2018, tab D Ccnl)</v>
      </c>
      <c r="D19" s="1227"/>
      <c r="E19" s="1225"/>
      <c r="F19" s="1225"/>
      <c r="G19" s="1226"/>
      <c r="H19" s="1219">
        <f>SUMIFS('t15(5)'!$C:$C,'t15(5)'!$B:$B,'Incongruenza 15'!$B19)</f>
        <v>0</v>
      </c>
    </row>
    <row r="20" spans="1:8" s="93" customFormat="1" ht="20.100000000000001" customHeight="1" x14ac:dyDescent="0.2">
      <c r="A20" s="1183"/>
      <c r="B20" s="1197" t="s">
        <v>735</v>
      </c>
      <c r="C20" s="1198" t="s">
        <v>912</v>
      </c>
      <c r="D20" s="1224"/>
      <c r="E20" s="1229"/>
      <c r="F20" s="1229"/>
      <c r="G20" s="1230"/>
      <c r="H20" s="1219">
        <f>SUMIFS('t15(5)'!$C:$C,'t15(5)'!$B:$B,'Incongruenza 15'!$B20)</f>
        <v>0</v>
      </c>
    </row>
    <row r="21" spans="1:8" s="93" customFormat="1" ht="20.100000000000001" customHeight="1" x14ac:dyDescent="0.2">
      <c r="A21" s="1183"/>
      <c r="B21" s="1231" t="s">
        <v>866</v>
      </c>
      <c r="C21" s="1198" t="s">
        <v>999</v>
      </c>
      <c r="D21" s="1219">
        <f>SUMIFS('t15(1)'!$C:$C,'t15(1)'!$B:$B,'Incongruenza 15'!$B21)</f>
        <v>0</v>
      </c>
      <c r="E21" s="1219">
        <f>SUMIFS('t15(2)'!$C:$C,'t15(2)'!$B:$B,'Incongruenza 15'!$B21)</f>
        <v>0</v>
      </c>
      <c r="F21" s="1219">
        <f>SUMIFS('t15(3)'!$C:$C,'t15(3)'!$B:$B,'Incongruenza 15'!$B21)</f>
        <v>0</v>
      </c>
      <c r="G21" s="1219">
        <f>SUMIFS('t15(4)'!$C:$C,'t15(4)'!$B:$B,'Incongruenza 15'!$B21)</f>
        <v>0</v>
      </c>
      <c r="H21" s="1219">
        <f>SUMIFS('t15(5)'!$C:$C,'t15(5)'!$B:$B,'Incongruenza 15'!$B21)</f>
        <v>0</v>
      </c>
    </row>
    <row r="22" spans="1:8" s="872" customFormat="1" ht="40.049999999999997" customHeight="1" x14ac:dyDescent="0.2">
      <c r="A22" s="1183"/>
      <c r="C22" s="1197"/>
      <c r="D22" s="1216" t="s">
        <v>909</v>
      </c>
      <c r="E22" s="1232"/>
      <c r="F22" s="1232"/>
      <c r="G22" s="1217"/>
      <c r="H22" s="1218"/>
    </row>
    <row r="23" spans="1:8" s="93" customFormat="1" ht="20.100000000000001" customHeight="1" x14ac:dyDescent="0.2">
      <c r="A23" s="1183"/>
      <c r="B23" s="1197" t="s">
        <v>481</v>
      </c>
      <c r="C23" s="1198" t="str">
        <f>INDEX('t15(1)'!$A:$A,MATCH($B23,'t15(1)'!$B:$B,0))</f>
        <v>Art 43 L 449/1997 - Entr. conto terzi o utenza o sponsor.</v>
      </c>
      <c r="D23" s="1219">
        <f>SUMIFS('t15(1)'!$C:$C,'t15(1)'!$B:$B,'Incongruenza 15'!$B23)</f>
        <v>0</v>
      </c>
      <c r="E23" s="1219">
        <f>SUMIFS('t15(2)'!$C:$C,'t15(2)'!$B:$B,'Incongruenza 15'!$B23)</f>
        <v>0</v>
      </c>
      <c r="F23" s="1219">
        <f>SUMIFS('t15(3)'!$C:$C,'t15(3)'!$B:$B,'Incongruenza 15'!$B23)</f>
        <v>0</v>
      </c>
      <c r="G23" s="1219">
        <f>SUMIFS('t15(4)'!$C:$C,'t15(4)'!$B:$B,'Incongruenza 15'!$B23)</f>
        <v>0</v>
      </c>
      <c r="H23" s="1219">
        <f>SUMIFS('t15(5)'!$C:$C,'t15(5)'!$B:$B,'Incongruenza 15'!$B23)</f>
        <v>0</v>
      </c>
    </row>
    <row r="24" spans="1:8" s="872" customFormat="1" ht="20.100000000000001" customHeight="1" x14ac:dyDescent="0.2">
      <c r="A24" s="1183"/>
      <c r="B24" s="1197" t="s">
        <v>583</v>
      </c>
      <c r="C24" s="1198" t="str">
        <f>INDEX('t15(2)'!$A:$A,MATCH($B24,'t15(2)'!$B:$B,0))</f>
        <v>Art 16 cc 4-5-6 DL 98/11 - Risp. piani razionalizzazione</v>
      </c>
      <c r="D24" s="1400"/>
      <c r="E24" s="1219">
        <f>SUMIFS('t15(2)'!$C:$C,'t15(2)'!$B:$B,'Incongruenza 15'!$B24)</f>
        <v>0</v>
      </c>
      <c r="F24" s="1219">
        <f>SUMIFS('t15(3)'!$C:$C,'t15(3)'!$B:$B,'Incongruenza 15'!$B24)</f>
        <v>0</v>
      </c>
      <c r="G24" s="1219">
        <f>SUMIFS('t15(4)'!$C:$C,'t15(4)'!$B:$B,'Incongruenza 15'!$B24)</f>
        <v>0</v>
      </c>
      <c r="H24" s="1219">
        <f>SUMIFS('t15(5)'!$C:$C,'t15(5)'!$B:$B,'Incongruenza 15'!$B24)</f>
        <v>0</v>
      </c>
    </row>
    <row r="25" spans="1:8" s="872" customFormat="1" ht="20.100000000000001" customHeight="1" x14ac:dyDescent="0.2">
      <c r="A25" s="1183"/>
      <c r="B25" s="1197" t="s">
        <v>483</v>
      </c>
      <c r="C25" s="1198" t="str">
        <f>INDEX('t15(1)'!$A:$A,MATCH($B25,'t15(1)'!$B:$B,0))</f>
        <v>Ris. da terzi per incar. agg.vi (art 52 c 3 L. a Ccnl 02-05)</v>
      </c>
      <c r="D25" s="1219">
        <f>SUMIFS('t15(1)'!$C:$C,'t15(1)'!$B:$B,'Incongruenza 15'!$B25)</f>
        <v>0</v>
      </c>
      <c r="E25" s="1220"/>
      <c r="F25" s="1221"/>
      <c r="G25" s="1221"/>
      <c r="H25" s="1222"/>
    </row>
    <row r="26" spans="1:8" s="93" customFormat="1" ht="20.100000000000001" customHeight="1" x14ac:dyDescent="0.2">
      <c r="A26" s="1183"/>
      <c r="B26" s="1197" t="s">
        <v>495</v>
      </c>
      <c r="C26" s="1198" t="str">
        <f>INDEX('t15(2)'!$A:$A,MATCH($B26,'t15(2)'!$B:$B,0))</f>
        <v>Ris. da terzi per incar. agg.vi (art 59 c 3 L. a Ccnl02-05)</v>
      </c>
      <c r="D26" s="1223"/>
      <c r="E26" s="1219">
        <f>SUMIFS('t15(2)'!$C:$C,'t15(2)'!$B:$B,'Incongruenza 15'!$B26)</f>
        <v>0</v>
      </c>
      <c r="F26" s="1227"/>
      <c r="G26" s="1229"/>
      <c r="H26" s="1226"/>
    </row>
    <row r="27" spans="1:8" s="93" customFormat="1" ht="20.100000000000001" customHeight="1" x14ac:dyDescent="0.2">
      <c r="A27" s="1183"/>
      <c r="B27" s="1197" t="s">
        <v>839</v>
      </c>
      <c r="C27" s="1198" t="str">
        <f>INDEX('t15(4)'!$A:$A,MATCH($B27,'t15(4)'!$B:$B,0))</f>
        <v>Art 9 c 3 DL 90/2014 - Comp Avvocati carico controparti</v>
      </c>
      <c r="D27" s="1227"/>
      <c r="E27" s="1221"/>
      <c r="F27" s="1226"/>
      <c r="G27" s="1219">
        <f>SUMIFS('t15(4)'!$C:$C,'t15(4)'!$B:$B,'Incongruenza 15'!$B27)</f>
        <v>0</v>
      </c>
      <c r="H27" s="1226"/>
    </row>
    <row r="28" spans="1:8" s="93" customFormat="1" ht="20.100000000000001" customHeight="1" x14ac:dyDescent="0.2">
      <c r="A28" s="1183"/>
      <c r="B28" s="1197" t="s">
        <v>840</v>
      </c>
      <c r="C28" s="1198" t="str">
        <f>INDEX('t15(4)'!$A:$A,MATCH($B28,'t15(4)'!$B:$B,0))</f>
        <v>Art 9 c 6 DL 90/2014 - Comp Avvocati spese compensate</v>
      </c>
      <c r="D28" s="1227"/>
      <c r="E28" s="1225"/>
      <c r="F28" s="1226"/>
      <c r="G28" s="1219">
        <f>SUMIFS('t15(4)'!$C:$C,'t15(4)'!$B:$B,'Incongruenza 15'!$B28)</f>
        <v>0</v>
      </c>
      <c r="H28" s="1230"/>
    </row>
    <row r="29" spans="1:8" s="93" customFormat="1" ht="20.100000000000001" customHeight="1" x14ac:dyDescent="0.2">
      <c r="A29" s="1183"/>
      <c r="B29" s="1197" t="s">
        <v>1147</v>
      </c>
      <c r="C29" s="1198" t="s">
        <v>1182</v>
      </c>
      <c r="D29" s="1227"/>
      <c r="E29" s="1225"/>
      <c r="F29" s="1225"/>
      <c r="G29" s="1219">
        <f>SUMIFS('t15(4)'!$C:$C,'t15(4)'!$B:$B,'Incongruenza 15'!$B29)</f>
        <v>0</v>
      </c>
      <c r="H29" s="1219">
        <f>SUMIFS('t15(5)'!$C:$C,'t15(5)'!$B:$B,'Incongruenza 15'!$B29)</f>
        <v>0</v>
      </c>
    </row>
    <row r="30" spans="1:8" s="872" customFormat="1" ht="20.100000000000001" customHeight="1" x14ac:dyDescent="0.2">
      <c r="A30" s="1183"/>
      <c r="B30" s="1231" t="s">
        <v>1148</v>
      </c>
      <c r="C30" s="1198" t="s">
        <v>1183</v>
      </c>
      <c r="D30" s="1227"/>
      <c r="E30" s="1225"/>
      <c r="F30" s="1225"/>
      <c r="G30" s="1226"/>
      <c r="H30" s="1219">
        <f>SUMIFS('t15(5)'!$C:$C,'t15(5)'!$B:$B,'Incongruenza 15'!$B30)</f>
        <v>0</v>
      </c>
    </row>
    <row r="31" spans="1:8" s="872" customFormat="1" ht="20.100000000000001" customHeight="1" x14ac:dyDescent="0.2">
      <c r="A31" s="1183"/>
      <c r="B31" s="1231" t="s">
        <v>1150</v>
      </c>
      <c r="C31" s="1198" t="str">
        <f>INDEX('t15(5)'!$A:$A,MATCH($B31,'t15(5)'!$B:$B,0))</f>
        <v>Art 11 c 1 L B DL 135/18 - Incr acc ass TD deroga fac ass.li</v>
      </c>
      <c r="D31" s="1227"/>
      <c r="E31" s="1225"/>
      <c r="F31" s="1225"/>
      <c r="G31" s="1226"/>
      <c r="H31" s="1219">
        <f>SUMIFS('t15(5)'!$C:$C,'t15(5)'!$B:$B,'Incongruenza 15'!$B31)</f>
        <v>0</v>
      </c>
    </row>
    <row r="32" spans="1:8" s="93" customFormat="1" ht="20.100000000000001" customHeight="1" x14ac:dyDescent="0.2">
      <c r="A32" s="1183"/>
      <c r="B32" s="1231" t="s">
        <v>1136</v>
      </c>
      <c r="C32" s="1198" t="str">
        <f>INDEX('t15(5)'!$A:$A,MATCH($B32,'t15(5)'!$B:$B,0))</f>
        <v>Art 1 c 604 L 234/2021 - Increm 0,22% m.s. 2018 dal 1.1.2022</v>
      </c>
      <c r="D32" s="1219">
        <f>SUMIFS('t15(1)'!$C:$C,'t15(1)'!$B:$B,'Incongruenza 15'!$B32)</f>
        <v>0</v>
      </c>
      <c r="E32" s="1219">
        <f>SUMIFS('t15(2)'!$C:$C,'t15(2)'!$B:$B,'Incongruenza 15'!$B32)</f>
        <v>0</v>
      </c>
      <c r="F32" s="1219">
        <f>SUMIFS('t15(3)'!$C:$C,'t15(3)'!$B:$B,'Incongruenza 15'!$B32)</f>
        <v>0</v>
      </c>
      <c r="G32" s="1219">
        <f>SUMIFS('t15(4)'!$C:$C,'t15(4)'!$B:$B,'Incongruenza 15'!$B32)</f>
        <v>0</v>
      </c>
      <c r="H32" s="1219">
        <f>SUMIFS('t15(5)'!$C:$C,'t15(5)'!$B:$B,'Incongruenza 15'!$B32)</f>
        <v>0</v>
      </c>
    </row>
    <row r="33" spans="1:8" s="872" customFormat="1" ht="20.100000000000001" customHeight="1" x14ac:dyDescent="0.2">
      <c r="A33" s="1183"/>
      <c r="B33" s="1231" t="s">
        <v>486</v>
      </c>
      <c r="C33" s="1198" t="str">
        <f>INDEX('t15(1)'!$A:$A,MATCH($B33,'t15(1)'!$B:$B,0))</f>
        <v>Somme non utilizzate fondo/i anno precedente</v>
      </c>
      <c r="D33" s="1219">
        <f>SUMIFS('t15(1)'!$C:$C,'t15(1)'!$B:$B,'Incongruenza 15'!$B33)</f>
        <v>0</v>
      </c>
      <c r="E33" s="1219">
        <f>SUMIFS('t15(2)'!$C:$C,'t15(2)'!$B:$B,'Incongruenza 15'!$B33)</f>
        <v>0</v>
      </c>
      <c r="F33" s="1219">
        <f>SUMIFS('t15(3)'!$C:$C,'t15(3)'!$B:$B,'Incongruenza 15'!$B33)</f>
        <v>0</v>
      </c>
      <c r="G33" s="1219">
        <f>SUMIFS('t15(4)'!$C:$C,'t15(4)'!$B:$B,'Incongruenza 15'!$B33)</f>
        <v>0</v>
      </c>
      <c r="H33" s="1219">
        <f>SUMIFS('t15(5)'!$C:$C,'t15(5)'!$B:$B,'Incongruenza 15'!$B33)</f>
        <v>0</v>
      </c>
    </row>
    <row r="34" spans="1:8" ht="20.100000000000001" customHeight="1" x14ac:dyDescent="0.2">
      <c r="A34" s="1186" t="s">
        <v>894</v>
      </c>
      <c r="B34" s="1212" t="s">
        <v>904</v>
      </c>
      <c r="C34" s="1213"/>
      <c r="D34" s="1219">
        <f>D6-D7</f>
        <v>0</v>
      </c>
      <c r="E34" s="1219">
        <f>E6-E7</f>
        <v>0</v>
      </c>
      <c r="F34" s="1219">
        <f>F6-F7</f>
        <v>0</v>
      </c>
      <c r="G34" s="1219">
        <f>G6-G7</f>
        <v>0</v>
      </c>
      <c r="H34" s="1219">
        <f>H6-H7</f>
        <v>0</v>
      </c>
    </row>
    <row r="35" spans="1:8" ht="20.100000000000001" customHeight="1" x14ac:dyDescent="0.2">
      <c r="A35" s="892" t="s">
        <v>896</v>
      </c>
      <c r="B35" s="1233" t="s">
        <v>935</v>
      </c>
      <c r="C35" s="1233"/>
      <c r="D35" s="1214">
        <f>IF(D6&lt;&gt;0,ABS(D34/D6)*100,0)</f>
        <v>0</v>
      </c>
      <c r="E35" s="1214">
        <f>IF(E6&lt;&gt;0,ABS(E34/E6)*100,0)</f>
        <v>0</v>
      </c>
      <c r="F35" s="1214">
        <f>IF(F6&lt;&gt;0,ABS(F34/F6)*100,0)</f>
        <v>0</v>
      </c>
      <c r="G35" s="1214">
        <f>IF(G6&lt;&gt;0,ABS(G34/G6)*100,0)</f>
        <v>0</v>
      </c>
      <c r="H35" s="1214">
        <f>IF(H6&lt;&gt;0,ABS(H34/H6)*100,0)</f>
        <v>0</v>
      </c>
    </row>
  </sheetData>
  <sheetProtection algorithmName="SHA-512" hashValue="5UkJ018Ira5pl/mR8F7FRwuReDejavG/Cao4UN6RnJ5vvTQokNU6TkYEfBCE0/T5JwDVhI/wN3c8ECWef2n6aw==" saltValue="RVJs6NBsEdjKYccZhk0cew==" spinCount="100000" sheet="1" formatColumns="0" selectLockedCells="1"/>
  <conditionalFormatting sqref="D35:H35">
    <cfRule type="cellIs" dxfId="0" priority="1" stopIfTrue="1" operator="greaterThan">
      <formula>10</formula>
    </cfRule>
  </conditionalFormatting>
  <printOptions horizontalCentered="1"/>
  <pageMargins left="0.39370078740157483" right="0.39370078740157483" top="0.78740157480314965" bottom="0.39370078740157483" header="0.19685039370078741" footer="0.19685039370078741"/>
  <pageSetup paperSize="9" scale="53" orientation="landscape" horizontalDpi="300" verticalDpi="4294967292" r:id="rId1"/>
  <headerFooter alignWithMargins="0"/>
  <ignoredErrors>
    <ignoredError sqref="C24:C25" formula="1"/>
  </ignoredError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glio37"/>
  <dimension ref="A1:AQ33"/>
  <sheetViews>
    <sheetView showGridLines="0" zoomScaleNormal="100" workbookViewId="0">
      <selection activeCell="AA6" sqref="AA6"/>
    </sheetView>
  </sheetViews>
  <sheetFormatPr defaultColWidth="9.28515625" defaultRowHeight="10.199999999999999" x14ac:dyDescent="0.2"/>
  <cols>
    <col min="1" max="1" width="33" style="3" customWidth="1"/>
    <col min="2" max="2" width="13.28515625" style="2" customWidth="1"/>
    <col min="3" max="8" width="11.140625" style="3" hidden="1" customWidth="1"/>
    <col min="9" max="16" width="10.7109375" style="3" hidden="1" customWidth="1"/>
    <col min="17" max="26" width="9.28515625" style="3" hidden="1" customWidth="1"/>
    <col min="27" max="32" width="9.28515625" style="3" customWidth="1"/>
    <col min="33" max="36" width="11.140625" style="3" customWidth="1"/>
    <col min="37" max="37" width="11.140625" style="3" hidden="1" customWidth="1"/>
    <col min="38" max="38" width="11.140625" style="3" customWidth="1"/>
    <col min="39" max="46" width="10.7109375" style="3" customWidth="1"/>
    <col min="47" max="47" width="9.28515625" style="3" customWidth="1"/>
    <col min="48" max="16384" width="9.28515625" style="3"/>
  </cols>
  <sheetData>
    <row r="1" spans="1:43" ht="43.5" customHeight="1" x14ac:dyDescent="0.2">
      <c r="A1" s="751" t="str">
        <f>'t1'!A1</f>
        <v>ENTI PUBBLICI NON ECONOMICI - anno 2023</v>
      </c>
      <c r="B1" s="751"/>
      <c r="C1" s="751"/>
      <c r="D1" s="751"/>
      <c r="E1" s="751"/>
      <c r="F1" s="751"/>
      <c r="G1" s="751"/>
      <c r="H1" s="751"/>
      <c r="I1" s="751"/>
      <c r="J1" s="751"/>
      <c r="L1" s="610"/>
      <c r="M1"/>
      <c r="AK1" s="1302" t="s">
        <v>573</v>
      </c>
      <c r="AP1" s="610"/>
      <c r="AQ1"/>
    </row>
    <row r="2" spans="1:43" ht="30" customHeight="1" thickBot="1" x14ac:dyDescent="0.25">
      <c r="A2" s="5"/>
      <c r="G2" s="1301"/>
      <c r="H2" s="1301"/>
      <c r="I2" s="1301"/>
      <c r="J2" s="1301"/>
      <c r="AK2" s="1300" t="s">
        <v>574</v>
      </c>
    </row>
    <row r="3" spans="1:43" ht="24.75" customHeight="1" thickBot="1" x14ac:dyDescent="0.25">
      <c r="A3" s="7"/>
      <c r="B3" s="8"/>
      <c r="C3" s="1298" t="s">
        <v>234</v>
      </c>
      <c r="D3" s="9"/>
      <c r="E3" s="9"/>
      <c r="F3" s="9"/>
      <c r="G3" s="1299"/>
      <c r="H3" s="1299"/>
      <c r="I3" s="1299"/>
      <c r="J3" s="1299"/>
      <c r="Y3" s="1298" t="s">
        <v>234</v>
      </c>
      <c r="Z3" s="9"/>
      <c r="AA3" s="9"/>
      <c r="AB3" s="9"/>
      <c r="AC3" s="9"/>
      <c r="AD3" s="9"/>
      <c r="AE3" s="9"/>
      <c r="AF3" s="9"/>
      <c r="AG3" s="9"/>
      <c r="AH3" s="109"/>
      <c r="AK3" s="1307">
        <v>2</v>
      </c>
    </row>
    <row r="4" spans="1:43" ht="52.5" customHeight="1" thickTop="1" x14ac:dyDescent="0.2">
      <c r="A4" s="1283" t="s">
        <v>89</v>
      </c>
      <c r="B4" s="1282" t="s">
        <v>57</v>
      </c>
      <c r="C4" s="115" t="s">
        <v>119</v>
      </c>
      <c r="D4" s="1297"/>
      <c r="E4" s="115" t="s">
        <v>120</v>
      </c>
      <c r="F4" s="1297"/>
      <c r="G4" s="115" t="s">
        <v>47</v>
      </c>
      <c r="H4" s="1297"/>
      <c r="I4" s="115" t="s">
        <v>739</v>
      </c>
      <c r="J4" s="1297"/>
      <c r="AA4" s="115" t="s">
        <v>119</v>
      </c>
      <c r="AB4" s="1297"/>
      <c r="AC4" s="115" t="s">
        <v>120</v>
      </c>
      <c r="AD4" s="1297"/>
      <c r="AE4" s="115" t="s">
        <v>47</v>
      </c>
      <c r="AF4" s="1297"/>
      <c r="AG4" s="115" t="s">
        <v>739</v>
      </c>
      <c r="AH4" s="1296"/>
    </row>
    <row r="5" spans="1:43" ht="20.25" customHeight="1" thickBot="1" x14ac:dyDescent="0.25">
      <c r="A5" s="1281"/>
      <c r="B5" s="1280"/>
      <c r="C5" s="1279" t="s">
        <v>58</v>
      </c>
      <c r="D5" s="1295" t="s">
        <v>59</v>
      </c>
      <c r="E5" s="1279" t="s">
        <v>58</v>
      </c>
      <c r="F5" s="1295" t="s">
        <v>59</v>
      </c>
      <c r="G5" s="1279" t="s">
        <v>58</v>
      </c>
      <c r="H5" s="1295" t="s">
        <v>59</v>
      </c>
      <c r="I5" s="1279" t="s">
        <v>58</v>
      </c>
      <c r="J5" s="1295" t="s">
        <v>59</v>
      </c>
      <c r="AA5" s="1279" t="s">
        <v>58</v>
      </c>
      <c r="AB5" s="1295" t="s">
        <v>59</v>
      </c>
      <c r="AC5" s="1279" t="s">
        <v>58</v>
      </c>
      <c r="AD5" s="1295" t="s">
        <v>59</v>
      </c>
      <c r="AE5" s="1279" t="s">
        <v>58</v>
      </c>
      <c r="AF5" s="1295" t="s">
        <v>59</v>
      </c>
      <c r="AG5" s="1279" t="s">
        <v>58</v>
      </c>
      <c r="AH5" s="1278" t="s">
        <v>59</v>
      </c>
    </row>
    <row r="6" spans="1:43" ht="20.25" customHeight="1" thickTop="1" x14ac:dyDescent="0.2">
      <c r="A6" s="1271" t="s">
        <v>442</v>
      </c>
      <c r="B6" s="1277" t="s">
        <v>443</v>
      </c>
      <c r="C6" s="1294">
        <f t="shared" ref="C6:J12" si="0">ROUND(AA6,2)</f>
        <v>0</v>
      </c>
      <c r="D6" s="1293">
        <f t="shared" si="0"/>
        <v>0</v>
      </c>
      <c r="E6" s="1294">
        <f t="shared" si="0"/>
        <v>0</v>
      </c>
      <c r="F6" s="1293">
        <f t="shared" si="0"/>
        <v>0</v>
      </c>
      <c r="G6" s="1294">
        <f t="shared" si="0"/>
        <v>0</v>
      </c>
      <c r="H6" s="1293">
        <f t="shared" si="0"/>
        <v>0</v>
      </c>
      <c r="I6" s="1294">
        <f t="shared" si="0"/>
        <v>0</v>
      </c>
      <c r="J6" s="1293">
        <f t="shared" si="0"/>
        <v>0</v>
      </c>
      <c r="AA6" s="1294"/>
      <c r="AB6" s="1293"/>
      <c r="AC6" s="1294"/>
      <c r="AD6" s="1293"/>
      <c r="AE6" s="1294"/>
      <c r="AF6" s="1293"/>
      <c r="AG6" s="1294"/>
      <c r="AH6" s="1291"/>
    </row>
    <row r="7" spans="1:43" ht="20.25" customHeight="1" x14ac:dyDescent="0.2">
      <c r="A7" s="1271" t="s">
        <v>444</v>
      </c>
      <c r="B7" s="1272" t="s">
        <v>445</v>
      </c>
      <c r="C7" s="1294">
        <f t="shared" si="0"/>
        <v>0</v>
      </c>
      <c r="D7" s="1293">
        <f t="shared" si="0"/>
        <v>0</v>
      </c>
      <c r="E7" s="1294">
        <f t="shared" si="0"/>
        <v>0</v>
      </c>
      <c r="F7" s="1293">
        <f t="shared" si="0"/>
        <v>0</v>
      </c>
      <c r="G7" s="1294">
        <f t="shared" si="0"/>
        <v>0</v>
      </c>
      <c r="H7" s="1293">
        <f t="shared" si="0"/>
        <v>0</v>
      </c>
      <c r="I7" s="1294">
        <f t="shared" si="0"/>
        <v>0</v>
      </c>
      <c r="J7" s="1293">
        <f t="shared" si="0"/>
        <v>0</v>
      </c>
      <c r="AA7" s="1294"/>
      <c r="AB7" s="1293"/>
      <c r="AC7" s="1294"/>
      <c r="AD7" s="1293"/>
      <c r="AE7" s="1294"/>
      <c r="AF7" s="1293"/>
      <c r="AG7" s="1294"/>
      <c r="AH7" s="1291"/>
    </row>
    <row r="8" spans="1:43" ht="22.8" x14ac:dyDescent="0.2">
      <c r="A8" s="1303" t="s">
        <v>1005</v>
      </c>
      <c r="B8" s="1272" t="s">
        <v>1006</v>
      </c>
      <c r="C8" s="1294">
        <f t="shared" si="0"/>
        <v>0</v>
      </c>
      <c r="D8" s="1293">
        <f t="shared" si="0"/>
        <v>0</v>
      </c>
      <c r="E8" s="1294">
        <f t="shared" si="0"/>
        <v>0</v>
      </c>
      <c r="F8" s="1293">
        <f t="shared" si="0"/>
        <v>0</v>
      </c>
      <c r="G8" s="1294">
        <f t="shared" si="0"/>
        <v>0</v>
      </c>
      <c r="H8" s="1293">
        <f t="shared" si="0"/>
        <v>0</v>
      </c>
      <c r="I8" s="1294">
        <f t="shared" si="0"/>
        <v>0</v>
      </c>
      <c r="J8" s="1293">
        <f t="shared" si="0"/>
        <v>0</v>
      </c>
      <c r="AA8" s="1294"/>
      <c r="AB8" s="1293"/>
      <c r="AC8" s="1294"/>
      <c r="AD8" s="1293"/>
      <c r="AE8" s="1294"/>
      <c r="AF8" s="1293"/>
      <c r="AG8" s="1294"/>
      <c r="AH8" s="1291"/>
    </row>
    <row r="9" spans="1:43" ht="20.25" customHeight="1" x14ac:dyDescent="0.2">
      <c r="A9" s="1271" t="s">
        <v>1001</v>
      </c>
      <c r="B9" s="1272" t="s">
        <v>1007</v>
      </c>
      <c r="C9" s="1294">
        <f t="shared" si="0"/>
        <v>0</v>
      </c>
      <c r="D9" s="1293">
        <f t="shared" si="0"/>
        <v>0</v>
      </c>
      <c r="E9" s="1294">
        <f t="shared" si="0"/>
        <v>0</v>
      </c>
      <c r="F9" s="1293">
        <f t="shared" si="0"/>
        <v>0</v>
      </c>
      <c r="G9" s="1294">
        <f t="shared" si="0"/>
        <v>0</v>
      </c>
      <c r="H9" s="1293">
        <f t="shared" si="0"/>
        <v>0</v>
      </c>
      <c r="I9" s="1294">
        <f t="shared" si="0"/>
        <v>0</v>
      </c>
      <c r="J9" s="1293">
        <f t="shared" si="0"/>
        <v>0</v>
      </c>
      <c r="AA9" s="1294"/>
      <c r="AB9" s="1293"/>
      <c r="AC9" s="1294"/>
      <c r="AD9" s="1293"/>
      <c r="AE9" s="1294"/>
      <c r="AF9" s="1293"/>
      <c r="AG9" s="1294"/>
      <c r="AH9" s="1291"/>
    </row>
    <row r="10" spans="1:43" ht="20.25" customHeight="1" x14ac:dyDescent="0.2">
      <c r="A10" s="1271" t="s">
        <v>1002</v>
      </c>
      <c r="B10" s="1272" t="s">
        <v>1008</v>
      </c>
      <c r="C10" s="1294">
        <f t="shared" si="0"/>
        <v>0</v>
      </c>
      <c r="D10" s="1293">
        <f t="shared" si="0"/>
        <v>0</v>
      </c>
      <c r="E10" s="1294">
        <f t="shared" si="0"/>
        <v>0</v>
      </c>
      <c r="F10" s="1293">
        <f t="shared" si="0"/>
        <v>0</v>
      </c>
      <c r="G10" s="1294">
        <f t="shared" si="0"/>
        <v>0</v>
      </c>
      <c r="H10" s="1293">
        <f t="shared" si="0"/>
        <v>0</v>
      </c>
      <c r="I10" s="1294">
        <f t="shared" si="0"/>
        <v>0</v>
      </c>
      <c r="J10" s="1293">
        <f t="shared" si="0"/>
        <v>0</v>
      </c>
      <c r="AA10" s="1292"/>
      <c r="AB10" s="1293"/>
      <c r="AC10" s="1292"/>
      <c r="AD10" s="1293"/>
      <c r="AE10" s="1292"/>
      <c r="AF10" s="1293"/>
      <c r="AG10" s="1292"/>
      <c r="AH10" s="1291"/>
    </row>
    <row r="11" spans="1:43" ht="20.25" customHeight="1" x14ac:dyDescent="0.2">
      <c r="A11" s="1271" t="s">
        <v>1003</v>
      </c>
      <c r="B11" s="1272" t="s">
        <v>1009</v>
      </c>
      <c r="C11" s="1294">
        <f t="shared" si="0"/>
        <v>0</v>
      </c>
      <c r="D11" s="1293">
        <f t="shared" si="0"/>
        <v>0</v>
      </c>
      <c r="E11" s="1294">
        <f t="shared" si="0"/>
        <v>0</v>
      </c>
      <c r="F11" s="1293">
        <f t="shared" si="0"/>
        <v>0</v>
      </c>
      <c r="G11" s="1294">
        <f t="shared" si="0"/>
        <v>0</v>
      </c>
      <c r="H11" s="1293">
        <f t="shared" si="0"/>
        <v>0</v>
      </c>
      <c r="I11" s="1294">
        <f t="shared" si="0"/>
        <v>0</v>
      </c>
      <c r="J11" s="1293">
        <f t="shared" si="0"/>
        <v>0</v>
      </c>
      <c r="AA11" s="1289"/>
      <c r="AB11" s="1290"/>
      <c r="AC11" s="1289"/>
      <c r="AD11" s="1290"/>
      <c r="AE11" s="1289"/>
      <c r="AF11" s="1290"/>
      <c r="AG11" s="1289"/>
      <c r="AH11" s="1288"/>
    </row>
    <row r="12" spans="1:43" ht="20.25" customHeight="1" thickBot="1" x14ac:dyDescent="0.25">
      <c r="A12" s="1271" t="s">
        <v>446</v>
      </c>
      <c r="B12" s="1270" t="s">
        <v>263</v>
      </c>
      <c r="C12" s="1289">
        <f t="shared" si="0"/>
        <v>0</v>
      </c>
      <c r="D12" s="1290">
        <f t="shared" si="0"/>
        <v>0</v>
      </c>
      <c r="E12" s="1289">
        <f t="shared" si="0"/>
        <v>0</v>
      </c>
      <c r="F12" s="1290">
        <f t="shared" si="0"/>
        <v>0</v>
      </c>
      <c r="G12" s="1289">
        <f t="shared" si="0"/>
        <v>0</v>
      </c>
      <c r="H12" s="1290">
        <f t="shared" si="0"/>
        <v>0</v>
      </c>
      <c r="I12" s="1289">
        <f t="shared" si="0"/>
        <v>0</v>
      </c>
      <c r="J12" s="1290">
        <f t="shared" si="0"/>
        <v>0</v>
      </c>
      <c r="AA12" s="1289"/>
      <c r="AB12" s="1290"/>
      <c r="AC12" s="1289"/>
      <c r="AD12" s="1290"/>
      <c r="AE12" s="1289"/>
      <c r="AF12" s="1290"/>
      <c r="AG12" s="1289"/>
      <c r="AH12" s="1288"/>
    </row>
    <row r="13" spans="1:43" ht="33" customHeight="1" thickTop="1" thickBot="1" x14ac:dyDescent="0.25">
      <c r="A13" s="12" t="s">
        <v>60</v>
      </c>
      <c r="B13" s="10"/>
      <c r="C13" s="1265">
        <f t="shared" ref="C13:J13" si="1">SUM(C6:C12)</f>
        <v>0</v>
      </c>
      <c r="D13" s="1287">
        <f t="shared" si="1"/>
        <v>0</v>
      </c>
      <c r="E13" s="1265">
        <f t="shared" si="1"/>
        <v>0</v>
      </c>
      <c r="F13" s="1287">
        <f t="shared" si="1"/>
        <v>0</v>
      </c>
      <c r="G13" s="1265">
        <f t="shared" si="1"/>
        <v>0</v>
      </c>
      <c r="H13" s="1287">
        <f t="shared" si="1"/>
        <v>0</v>
      </c>
      <c r="I13" s="1265">
        <f t="shared" si="1"/>
        <v>0</v>
      </c>
      <c r="J13" s="1287">
        <f t="shared" si="1"/>
        <v>0</v>
      </c>
      <c r="AA13" s="1265">
        <f t="shared" ref="AA13:AH13" si="2">SUM(AA6:AA12)</f>
        <v>0</v>
      </c>
      <c r="AB13" s="1287">
        <f t="shared" si="2"/>
        <v>0</v>
      </c>
      <c r="AC13" s="1265">
        <f t="shared" si="2"/>
        <v>0</v>
      </c>
      <c r="AD13" s="1287">
        <f t="shared" si="2"/>
        <v>0</v>
      </c>
      <c r="AE13" s="1265">
        <f t="shared" si="2"/>
        <v>0</v>
      </c>
      <c r="AF13" s="1287">
        <f t="shared" si="2"/>
        <v>0</v>
      </c>
      <c r="AG13" s="1265">
        <f t="shared" si="2"/>
        <v>0</v>
      </c>
      <c r="AH13" s="1264">
        <f t="shared" si="2"/>
        <v>0</v>
      </c>
    </row>
    <row r="14" spans="1:43" ht="8.25" customHeight="1" x14ac:dyDescent="0.2">
      <c r="A14" s="6"/>
    </row>
    <row r="15" spans="1:43" ht="13.2" x14ac:dyDescent="0.25">
      <c r="A15" s="1261"/>
    </row>
    <row r="16" spans="1:43" ht="13.8" x14ac:dyDescent="0.2">
      <c r="A16" s="1483" t="s">
        <v>1075</v>
      </c>
      <c r="B16" s="1483"/>
      <c r="C16" s="1483"/>
      <c r="D16" s="1483"/>
      <c r="E16" s="1483"/>
      <c r="F16" s="1483"/>
      <c r="G16" s="1483"/>
      <c r="H16" s="1483"/>
      <c r="I16" s="1483"/>
      <c r="J16" s="1483"/>
      <c r="K16" s="1483"/>
      <c r="L16" s="1483"/>
      <c r="M16" s="1483"/>
      <c r="N16" s="1483"/>
      <c r="O16" s="1483"/>
      <c r="P16" s="1483"/>
      <c r="Q16" s="1483"/>
      <c r="R16" s="1483"/>
      <c r="S16" s="1483"/>
      <c r="T16" s="1483"/>
      <c r="U16" s="1483"/>
      <c r="V16" s="1483"/>
      <c r="W16" s="1483"/>
      <c r="X16" s="1483"/>
      <c r="Y16" s="1483"/>
      <c r="Z16" s="1483"/>
      <c r="AA16" s="1483"/>
      <c r="AB16" s="1483"/>
      <c r="AC16" s="1483"/>
    </row>
    <row r="17" spans="1:36" ht="13.8" x14ac:dyDescent="0.2">
      <c r="A17" s="1286"/>
      <c r="B17" s="1286"/>
      <c r="C17" s="1286"/>
      <c r="D17" s="1286"/>
      <c r="E17" s="1286"/>
      <c r="F17" s="1286"/>
      <c r="G17" s="1286"/>
      <c r="H17" s="1286"/>
      <c r="I17" s="1286"/>
      <c r="J17" s="1286"/>
      <c r="K17" s="1286"/>
      <c r="L17" s="1286"/>
      <c r="M17" s="1286"/>
      <c r="N17" s="1286"/>
      <c r="O17" s="1286"/>
      <c r="P17" s="1286"/>
      <c r="Q17" s="1286"/>
      <c r="R17" s="1286"/>
      <c r="S17" s="1286"/>
      <c r="T17" s="1286"/>
      <c r="U17" s="1286"/>
      <c r="V17" s="1286"/>
      <c r="W17" s="1286"/>
      <c r="X17" s="1286"/>
      <c r="Y17" s="1286"/>
      <c r="Z17" s="1286"/>
      <c r="AA17" s="1286"/>
      <c r="AB17" s="1286"/>
      <c r="AC17" s="1286"/>
    </row>
    <row r="18" spans="1:36" x14ac:dyDescent="0.2">
      <c r="AA18"/>
    </row>
    <row r="19" spans="1:36" ht="30" customHeight="1" thickBot="1" x14ac:dyDescent="0.25">
      <c r="A19" s="5"/>
      <c r="C19" s="1285"/>
      <c r="D19" s="1285"/>
      <c r="E19" s="1285"/>
      <c r="F19" s="1285"/>
      <c r="G19" s="1484"/>
      <c r="H19" s="1484"/>
      <c r="I19" s="1484"/>
      <c r="J19" s="1484"/>
      <c r="K19" s="1484"/>
      <c r="L19" s="1484"/>
    </row>
    <row r="20" spans="1:36" ht="24.75" customHeight="1" thickBot="1" x14ac:dyDescent="0.25">
      <c r="A20" s="7"/>
      <c r="B20" s="8"/>
      <c r="D20" s="1284"/>
      <c r="E20" s="1284"/>
      <c r="F20" s="1284"/>
      <c r="G20" s="1284"/>
      <c r="H20" s="1284"/>
      <c r="I20" s="248"/>
      <c r="J20" s="248"/>
      <c r="K20" s="248"/>
      <c r="L20" s="249"/>
      <c r="AA20" s="248"/>
      <c r="AB20" s="248"/>
      <c r="AC20" s="248"/>
      <c r="AD20" s="248"/>
      <c r="AE20" s="248"/>
      <c r="AF20" s="248"/>
      <c r="AG20" s="248"/>
      <c r="AH20" s="248"/>
      <c r="AI20" s="248"/>
      <c r="AJ20" s="249"/>
    </row>
    <row r="21" spans="1:36" ht="52.5" customHeight="1" thickTop="1" x14ac:dyDescent="0.2">
      <c r="A21" s="1283" t="s">
        <v>89</v>
      </c>
      <c r="B21" s="1282" t="s">
        <v>57</v>
      </c>
      <c r="C21" s="1480" t="s">
        <v>1074</v>
      </c>
      <c r="D21" s="1481"/>
      <c r="E21" s="1480" t="s">
        <v>1073</v>
      </c>
      <c r="F21" s="1481"/>
      <c r="G21" s="1480" t="s">
        <v>1072</v>
      </c>
      <c r="H21" s="1481"/>
      <c r="I21" s="1480" t="s">
        <v>0</v>
      </c>
      <c r="J21" s="1481"/>
      <c r="K21" s="1480" t="s">
        <v>1</v>
      </c>
      <c r="L21" s="1482"/>
      <c r="AA21" s="1480" t="s">
        <v>1071</v>
      </c>
      <c r="AB21" s="1481"/>
      <c r="AC21" s="1480" t="s">
        <v>1070</v>
      </c>
      <c r="AD21" s="1481"/>
      <c r="AE21" s="1480" t="s">
        <v>1069</v>
      </c>
      <c r="AF21" s="1481"/>
      <c r="AG21" s="1480" t="s">
        <v>1068</v>
      </c>
      <c r="AH21" s="1481"/>
      <c r="AI21" s="1480" t="s">
        <v>1067</v>
      </c>
      <c r="AJ21" s="1482"/>
    </row>
    <row r="22" spans="1:36" ht="20.25" customHeight="1" thickBot="1" x14ac:dyDescent="0.25">
      <c r="A22" s="1281"/>
      <c r="B22" s="1280"/>
      <c r="C22" s="1279" t="s">
        <v>58</v>
      </c>
      <c r="D22" s="1278" t="s">
        <v>59</v>
      </c>
      <c r="E22" s="1279" t="s">
        <v>58</v>
      </c>
      <c r="F22" s="1278" t="s">
        <v>59</v>
      </c>
      <c r="G22" s="1279" t="s">
        <v>58</v>
      </c>
      <c r="H22" s="1278" t="s">
        <v>59</v>
      </c>
      <c r="I22" s="1279" t="s">
        <v>58</v>
      </c>
      <c r="J22" s="1278" t="s">
        <v>59</v>
      </c>
      <c r="K22" s="1279" t="s">
        <v>58</v>
      </c>
      <c r="L22" s="1278" t="s">
        <v>59</v>
      </c>
      <c r="AA22" s="1279" t="s">
        <v>58</v>
      </c>
      <c r="AB22" s="1278" t="s">
        <v>59</v>
      </c>
      <c r="AC22" s="1279" t="s">
        <v>58</v>
      </c>
      <c r="AD22" s="1278" t="s">
        <v>59</v>
      </c>
      <c r="AE22" s="1279" t="s">
        <v>58</v>
      </c>
      <c r="AF22" s="1278" t="s">
        <v>59</v>
      </c>
      <c r="AG22" s="1279" t="s">
        <v>58</v>
      </c>
      <c r="AH22" s="1278" t="s">
        <v>59</v>
      </c>
      <c r="AI22" s="1279" t="s">
        <v>58</v>
      </c>
      <c r="AJ22" s="1278" t="s">
        <v>59</v>
      </c>
    </row>
    <row r="23" spans="1:36" ht="20.25" customHeight="1" thickTop="1" x14ac:dyDescent="0.2">
      <c r="A23" s="1271" t="s">
        <v>442</v>
      </c>
      <c r="B23" s="1277" t="s">
        <v>443</v>
      </c>
      <c r="C23" s="1276">
        <f t="shared" ref="C23:L29" si="3">ROUND(AA23,0)</f>
        <v>0</v>
      </c>
      <c r="D23" s="1274">
        <f t="shared" si="3"/>
        <v>0</v>
      </c>
      <c r="E23" s="1276">
        <f t="shared" si="3"/>
        <v>0</v>
      </c>
      <c r="F23" s="1274">
        <f t="shared" si="3"/>
        <v>0</v>
      </c>
      <c r="G23" s="1276">
        <f t="shared" si="3"/>
        <v>0</v>
      </c>
      <c r="H23" s="1274">
        <f t="shared" si="3"/>
        <v>0</v>
      </c>
      <c r="I23" s="1276">
        <f t="shared" si="3"/>
        <v>0</v>
      </c>
      <c r="J23" s="1274">
        <f t="shared" si="3"/>
        <v>0</v>
      </c>
      <c r="K23" s="1276">
        <f t="shared" si="3"/>
        <v>0</v>
      </c>
      <c r="L23" s="1274">
        <f t="shared" si="3"/>
        <v>0</v>
      </c>
      <c r="AA23" s="1275"/>
      <c r="AB23" s="1273"/>
      <c r="AC23" s="1275"/>
      <c r="AD23" s="1273"/>
      <c r="AE23" s="1275"/>
      <c r="AF23" s="1273"/>
      <c r="AG23" s="1275"/>
      <c r="AH23" s="1273"/>
      <c r="AI23" s="1275"/>
      <c r="AJ23" s="1273"/>
    </row>
    <row r="24" spans="1:36" ht="20.25" customHeight="1" x14ac:dyDescent="0.2">
      <c r="A24" s="1271" t="s">
        <v>444</v>
      </c>
      <c r="B24" s="1272" t="s">
        <v>445</v>
      </c>
      <c r="C24" s="1276">
        <f t="shared" si="3"/>
        <v>0</v>
      </c>
      <c r="D24" s="1274">
        <f t="shared" si="3"/>
        <v>0</v>
      </c>
      <c r="E24" s="1276">
        <f t="shared" si="3"/>
        <v>0</v>
      </c>
      <c r="F24" s="1274">
        <f t="shared" si="3"/>
        <v>0</v>
      </c>
      <c r="G24" s="1276">
        <f t="shared" si="3"/>
        <v>0</v>
      </c>
      <c r="H24" s="1274">
        <f t="shared" si="3"/>
        <v>0</v>
      </c>
      <c r="I24" s="1276">
        <f t="shared" si="3"/>
        <v>0</v>
      </c>
      <c r="J24" s="1274">
        <f t="shared" si="3"/>
        <v>0</v>
      </c>
      <c r="K24" s="1276">
        <f t="shared" si="3"/>
        <v>0</v>
      </c>
      <c r="L24" s="1274">
        <f t="shared" si="3"/>
        <v>0</v>
      </c>
      <c r="AA24" s="1275"/>
      <c r="AB24" s="1273"/>
      <c r="AC24" s="1275"/>
      <c r="AD24" s="1273"/>
      <c r="AE24" s="1275"/>
      <c r="AF24" s="1273"/>
      <c r="AG24" s="1275"/>
      <c r="AH24" s="1273"/>
      <c r="AI24" s="1275"/>
      <c r="AJ24" s="1273"/>
    </row>
    <row r="25" spans="1:36" ht="22.8" x14ac:dyDescent="0.2">
      <c r="A25" s="1303" t="s">
        <v>1005</v>
      </c>
      <c r="B25" s="1272" t="s">
        <v>1006</v>
      </c>
      <c r="C25" s="1276">
        <f t="shared" si="3"/>
        <v>0</v>
      </c>
      <c r="D25" s="1274">
        <f t="shared" si="3"/>
        <v>0</v>
      </c>
      <c r="E25" s="1276">
        <f t="shared" si="3"/>
        <v>0</v>
      </c>
      <c r="F25" s="1274">
        <f t="shared" si="3"/>
        <v>0</v>
      </c>
      <c r="G25" s="1276">
        <f t="shared" si="3"/>
        <v>0</v>
      </c>
      <c r="H25" s="1274">
        <f t="shared" si="3"/>
        <v>0</v>
      </c>
      <c r="I25" s="1276">
        <f t="shared" si="3"/>
        <v>0</v>
      </c>
      <c r="J25" s="1274">
        <f t="shared" si="3"/>
        <v>0</v>
      </c>
      <c r="K25" s="1276">
        <f t="shared" si="3"/>
        <v>0</v>
      </c>
      <c r="L25" s="1274">
        <f t="shared" si="3"/>
        <v>0</v>
      </c>
      <c r="AA25" s="1275"/>
      <c r="AB25" s="1273"/>
      <c r="AC25" s="1275"/>
      <c r="AD25" s="1273"/>
      <c r="AE25" s="1275"/>
      <c r="AF25" s="1273"/>
      <c r="AG25" s="1275"/>
      <c r="AH25" s="1273"/>
      <c r="AI25" s="1275"/>
      <c r="AJ25" s="1273"/>
    </row>
    <row r="26" spans="1:36" ht="20.25" customHeight="1" x14ac:dyDescent="0.2">
      <c r="A26" s="1271" t="s">
        <v>1001</v>
      </c>
      <c r="B26" s="1272" t="s">
        <v>1007</v>
      </c>
      <c r="C26" s="1276">
        <f t="shared" si="3"/>
        <v>0</v>
      </c>
      <c r="D26" s="1274">
        <f t="shared" si="3"/>
        <v>0</v>
      </c>
      <c r="E26" s="1276">
        <f t="shared" si="3"/>
        <v>0</v>
      </c>
      <c r="F26" s="1274">
        <f t="shared" si="3"/>
        <v>0</v>
      </c>
      <c r="G26" s="1276">
        <f t="shared" si="3"/>
        <v>0</v>
      </c>
      <c r="H26" s="1274">
        <f t="shared" si="3"/>
        <v>0</v>
      </c>
      <c r="I26" s="1276">
        <f t="shared" si="3"/>
        <v>0</v>
      </c>
      <c r="J26" s="1274">
        <f t="shared" si="3"/>
        <v>0</v>
      </c>
      <c r="K26" s="1276">
        <f t="shared" si="3"/>
        <v>0</v>
      </c>
      <c r="L26" s="1274">
        <f t="shared" si="3"/>
        <v>0</v>
      </c>
      <c r="AA26" s="1275"/>
      <c r="AB26" s="1273"/>
      <c r="AC26" s="1275"/>
      <c r="AD26" s="1273"/>
      <c r="AE26" s="1275"/>
      <c r="AF26" s="1273"/>
      <c r="AG26" s="1275"/>
      <c r="AH26" s="1273"/>
      <c r="AI26" s="1275"/>
      <c r="AJ26" s="1273"/>
    </row>
    <row r="27" spans="1:36" ht="20.25" customHeight="1" x14ac:dyDescent="0.2">
      <c r="A27" s="1271" t="s">
        <v>1002</v>
      </c>
      <c r="B27" s="1272" t="s">
        <v>1008</v>
      </c>
      <c r="C27" s="1276">
        <f t="shared" si="3"/>
        <v>0</v>
      </c>
      <c r="D27" s="1274">
        <f t="shared" si="3"/>
        <v>0</v>
      </c>
      <c r="E27" s="1276">
        <f t="shared" si="3"/>
        <v>0</v>
      </c>
      <c r="F27" s="1274">
        <f t="shared" si="3"/>
        <v>0</v>
      </c>
      <c r="G27" s="1276">
        <f t="shared" si="3"/>
        <v>0</v>
      </c>
      <c r="H27" s="1274">
        <f t="shared" si="3"/>
        <v>0</v>
      </c>
      <c r="I27" s="1276">
        <f t="shared" si="3"/>
        <v>0</v>
      </c>
      <c r="J27" s="1274">
        <f t="shared" si="3"/>
        <v>0</v>
      </c>
      <c r="K27" s="1276">
        <f t="shared" si="3"/>
        <v>0</v>
      </c>
      <c r="L27" s="1274">
        <f t="shared" si="3"/>
        <v>0</v>
      </c>
      <c r="AA27" s="1275"/>
      <c r="AB27" s="1273"/>
      <c r="AC27" s="1275"/>
      <c r="AD27" s="1273"/>
      <c r="AE27" s="1275"/>
      <c r="AF27" s="1273"/>
      <c r="AG27" s="1275"/>
      <c r="AH27" s="1273"/>
      <c r="AI27" s="1275"/>
      <c r="AJ27" s="1273"/>
    </row>
    <row r="28" spans="1:36" ht="20.25" customHeight="1" x14ac:dyDescent="0.2">
      <c r="A28" s="1271" t="s">
        <v>1003</v>
      </c>
      <c r="B28" s="1272" t="s">
        <v>1009</v>
      </c>
      <c r="C28" s="1276">
        <f t="shared" si="3"/>
        <v>0</v>
      </c>
      <c r="D28" s="1274">
        <f t="shared" si="3"/>
        <v>0</v>
      </c>
      <c r="E28" s="1276">
        <f t="shared" si="3"/>
        <v>0</v>
      </c>
      <c r="F28" s="1274">
        <f t="shared" si="3"/>
        <v>0</v>
      </c>
      <c r="G28" s="1276">
        <f t="shared" si="3"/>
        <v>0</v>
      </c>
      <c r="H28" s="1274">
        <f t="shared" si="3"/>
        <v>0</v>
      </c>
      <c r="I28" s="1276">
        <f t="shared" si="3"/>
        <v>0</v>
      </c>
      <c r="J28" s="1274">
        <f t="shared" si="3"/>
        <v>0</v>
      </c>
      <c r="K28" s="1276">
        <f t="shared" si="3"/>
        <v>0</v>
      </c>
      <c r="L28" s="1274">
        <f t="shared" si="3"/>
        <v>0</v>
      </c>
      <c r="AA28" s="1267"/>
      <c r="AB28" s="1266"/>
      <c r="AC28" s="1267"/>
      <c r="AD28" s="1266"/>
      <c r="AE28" s="1267"/>
      <c r="AF28" s="1266"/>
      <c r="AG28" s="1267"/>
      <c r="AH28" s="1266"/>
      <c r="AI28" s="1267"/>
      <c r="AJ28" s="1266"/>
    </row>
    <row r="29" spans="1:36" ht="20.25" customHeight="1" thickBot="1" x14ac:dyDescent="0.25">
      <c r="A29" s="1271" t="s">
        <v>446</v>
      </c>
      <c r="B29" s="1270" t="s">
        <v>263</v>
      </c>
      <c r="C29" s="1269">
        <f t="shared" si="3"/>
        <v>0</v>
      </c>
      <c r="D29" s="1268">
        <f t="shared" si="3"/>
        <v>0</v>
      </c>
      <c r="E29" s="1269">
        <f t="shared" si="3"/>
        <v>0</v>
      </c>
      <c r="F29" s="1268">
        <f t="shared" si="3"/>
        <v>0</v>
      </c>
      <c r="G29" s="1269">
        <f t="shared" si="3"/>
        <v>0</v>
      </c>
      <c r="H29" s="1268">
        <f t="shared" si="3"/>
        <v>0</v>
      </c>
      <c r="I29" s="1269">
        <f t="shared" si="3"/>
        <v>0</v>
      </c>
      <c r="J29" s="1268">
        <f t="shared" si="3"/>
        <v>0</v>
      </c>
      <c r="K29" s="1269">
        <f t="shared" si="3"/>
        <v>0</v>
      </c>
      <c r="L29" s="1268">
        <f t="shared" si="3"/>
        <v>0</v>
      </c>
      <c r="AA29" s="1267"/>
      <c r="AB29" s="1266"/>
      <c r="AC29" s="1267"/>
      <c r="AD29" s="1266"/>
      <c r="AE29" s="1267"/>
      <c r="AF29" s="1266"/>
      <c r="AG29" s="1267"/>
      <c r="AH29" s="1266"/>
      <c r="AI29" s="1267"/>
      <c r="AJ29" s="1266"/>
    </row>
    <row r="30" spans="1:36" ht="33" customHeight="1" thickTop="1" thickBot="1" x14ac:dyDescent="0.25">
      <c r="A30" s="12" t="s">
        <v>60</v>
      </c>
      <c r="B30" s="10"/>
      <c r="C30" s="1265">
        <f t="shared" ref="C30:L30" si="4">SUM(C23:C29)</f>
        <v>0</v>
      </c>
      <c r="D30" s="1264">
        <f t="shared" si="4"/>
        <v>0</v>
      </c>
      <c r="E30" s="1265">
        <f t="shared" si="4"/>
        <v>0</v>
      </c>
      <c r="F30" s="1264">
        <f t="shared" si="4"/>
        <v>0</v>
      </c>
      <c r="G30" s="1265">
        <f t="shared" si="4"/>
        <v>0</v>
      </c>
      <c r="H30" s="1264">
        <f t="shared" si="4"/>
        <v>0</v>
      </c>
      <c r="I30" s="1265">
        <f t="shared" si="4"/>
        <v>0</v>
      </c>
      <c r="J30" s="1264">
        <f t="shared" si="4"/>
        <v>0</v>
      </c>
      <c r="K30" s="1265">
        <f t="shared" si="4"/>
        <v>0</v>
      </c>
      <c r="L30" s="1264">
        <f t="shared" si="4"/>
        <v>0</v>
      </c>
      <c r="AA30" s="1263">
        <f t="shared" ref="AA30:AJ30" si="5">SUM(AA23:AA29)</f>
        <v>0</v>
      </c>
      <c r="AB30" s="1262">
        <f t="shared" si="5"/>
        <v>0</v>
      </c>
      <c r="AC30" s="1263">
        <f t="shared" si="5"/>
        <v>0</v>
      </c>
      <c r="AD30" s="1262">
        <f t="shared" si="5"/>
        <v>0</v>
      </c>
      <c r="AE30" s="1263">
        <f t="shared" si="5"/>
        <v>0</v>
      </c>
      <c r="AF30" s="1262">
        <f t="shared" si="5"/>
        <v>0</v>
      </c>
      <c r="AG30" s="1263">
        <f t="shared" si="5"/>
        <v>0</v>
      </c>
      <c r="AH30" s="1262">
        <f t="shared" si="5"/>
        <v>0</v>
      </c>
      <c r="AI30" s="1263">
        <f t="shared" si="5"/>
        <v>0</v>
      </c>
      <c r="AJ30" s="1262">
        <f t="shared" si="5"/>
        <v>0</v>
      </c>
    </row>
    <row r="31" spans="1:36" ht="8.25" customHeight="1" x14ac:dyDescent="0.2">
      <c r="A31" s="6"/>
    </row>
    <row r="32" spans="1:36" ht="13.2" x14ac:dyDescent="0.25">
      <c r="A32" s="1261" t="s">
        <v>121</v>
      </c>
    </row>
    <row r="33" spans="1:1" ht="13.2" x14ac:dyDescent="0.25">
      <c r="A33" s="1261" t="s">
        <v>122</v>
      </c>
    </row>
  </sheetData>
  <sheetProtection algorithmName="SHA-512" hashValue="0nJyHSyFLa1bhMxr6aAnZOYMdLQaqCFzRRamATawswJD+1cpvHWJoX1+9GyPedPtJpLjh5BQApRcMoZVkYG7lw==" saltValue="cqc709jfLM/SC0i98jXw7w==" spinCount="100000" sheet="1" formatColumns="0" selectLockedCells="1"/>
  <mergeCells count="12">
    <mergeCell ref="A16:AC16"/>
    <mergeCell ref="G19:L19"/>
    <mergeCell ref="C21:D21"/>
    <mergeCell ref="I21:J21"/>
    <mergeCell ref="K21:L21"/>
    <mergeCell ref="AA21:AB21"/>
    <mergeCell ref="AG21:AH21"/>
    <mergeCell ref="AI21:AJ21"/>
    <mergeCell ref="AC21:AD21"/>
    <mergeCell ref="AE21:AF21"/>
    <mergeCell ref="E21:F21"/>
    <mergeCell ref="G21:H21"/>
  </mergeCells>
  <dataValidations count="2">
    <dataValidation type="whole" allowBlank="1" showErrorMessage="1" promptTitle="ATTENZIONE!" prompt="Inserire solo numeri decimali con due cifre dopo la virgola" sqref="C23:L29 AA23:AJ29" xr:uid="{00000000-0002-0000-0400-000000000000}">
      <formula1>0</formula1>
      <formula2>9999999</formula2>
    </dataValidation>
    <dataValidation type="decimal" allowBlank="1" showInputMessage="1" showErrorMessage="1" promptTitle="ATTENZIONE!" prompt="Inserire solo numeri decimali con due cifre dopo la virgola" sqref="C6:J12 AA6:AH12" xr:uid="{00000000-0002-0000-0400-000001000000}">
      <formula1>0</formula1>
      <formula2>9999999</formula2>
    </dataValidation>
  </dataValidations>
  <printOptions horizontalCentered="1" verticalCentered="1"/>
  <pageMargins left="0" right="0" top="0.19685039370078741" bottom="0.31496062992125984" header="0.51181102362204722" footer="0.51181102362204722"/>
  <pageSetup paperSize="9" scale="90" orientation="landscape" horizontalDpi="300"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90465" r:id="rId4" name="Drop Down 1">
              <controlPr defaultSize="0" autoLine="0" autoPict="0" altText="No">
                <anchor moveWithCells="1">
                  <from>
                    <xdr:col>29</xdr:col>
                    <xdr:colOff>182880</xdr:colOff>
                    <xdr:row>14</xdr:row>
                    <xdr:rowOff>144780</xdr:rowOff>
                  </from>
                  <to>
                    <xdr:col>30</xdr:col>
                    <xdr:colOff>251460</xdr:colOff>
                    <xdr:row>15</xdr:row>
                    <xdr:rowOff>167640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glio34"/>
  <dimension ref="A1:T33"/>
  <sheetViews>
    <sheetView workbookViewId="0">
      <selection activeCell="D12" sqref="D12"/>
    </sheetView>
  </sheetViews>
  <sheetFormatPr defaultColWidth="9.28515625" defaultRowHeight="10.199999999999999" x14ac:dyDescent="0.2"/>
  <cols>
    <col min="1" max="1" width="6.140625" style="484" bestFit="1" customWidth="1"/>
    <col min="2" max="2" width="13" style="477" customWidth="1"/>
    <col min="3" max="3" width="33.85546875" style="477" customWidth="1"/>
    <col min="4" max="11" width="13.42578125" style="477" customWidth="1"/>
    <col min="12" max="19" width="7.7109375" style="477" hidden="1" customWidth="1"/>
    <col min="20" max="20" width="0" style="477" hidden="1" customWidth="1"/>
    <col min="21" max="21" width="8" style="477" customWidth="1"/>
    <col min="22" max="22" width="10.42578125" style="477" customWidth="1"/>
    <col min="23" max="16384" width="9.28515625" style="477"/>
  </cols>
  <sheetData>
    <row r="1" spans="1:19" ht="23.25" customHeight="1" x14ac:dyDescent="0.2">
      <c r="A1" s="484" t="str">
        <f>SI_1!A2</f>
        <v>EPNE</v>
      </c>
      <c r="B1" s="1486" t="str">
        <f>'t1'!A1</f>
        <v>ENTI PUBBLICI NON ECONOMICI - anno 2023</v>
      </c>
      <c r="C1" s="1486"/>
      <c r="D1" s="1486"/>
      <c r="E1" s="1486"/>
      <c r="F1" s="1486"/>
      <c r="G1" s="1486"/>
      <c r="H1" s="1486"/>
      <c r="I1" s="1486"/>
      <c r="J1" s="1486"/>
      <c r="K1" s="1486"/>
      <c r="L1" s="1486"/>
      <c r="M1" s="1486"/>
      <c r="N1" s="1486"/>
      <c r="O1" s="1486"/>
      <c r="P1" s="1486"/>
      <c r="Q1" s="1486"/>
      <c r="R1" s="1486"/>
      <c r="S1" s="1486"/>
    </row>
    <row r="3" spans="1:19" ht="23.25" customHeight="1" x14ac:dyDescent="0.3">
      <c r="D3" s="482"/>
      <c r="E3" s="482"/>
      <c r="F3" s="482"/>
      <c r="G3" s="482"/>
      <c r="H3" s="482"/>
      <c r="I3" s="482"/>
      <c r="J3" s="499"/>
      <c r="K3" s="499"/>
      <c r="M3" s="483"/>
      <c r="N3" s="483"/>
      <c r="O3" s="483"/>
      <c r="P3" s="483"/>
      <c r="Q3" s="483"/>
      <c r="R3" s="483"/>
    </row>
    <row r="4" spans="1:19" ht="11.4" x14ac:dyDescent="0.2">
      <c r="D4" s="485"/>
    </row>
    <row r="6" spans="1:19" ht="15" hidden="1" customHeight="1" thickTop="1" x14ac:dyDescent="0.2">
      <c r="B6" s="1487"/>
      <c r="C6" s="1488"/>
      <c r="D6" s="1489"/>
      <c r="E6" s="1490"/>
      <c r="F6" s="1490"/>
      <c r="G6" s="1490"/>
      <c r="H6" s="1490"/>
      <c r="I6" s="1490"/>
      <c r="J6" s="1490"/>
      <c r="K6" s="1491"/>
      <c r="L6" s="1489"/>
      <c r="M6" s="1490"/>
      <c r="N6" s="1490"/>
      <c r="O6" s="1490"/>
      <c r="P6" s="1490"/>
      <c r="Q6" s="1490"/>
      <c r="R6" s="1490"/>
      <c r="S6" s="1491"/>
    </row>
    <row r="7" spans="1:19" ht="13.5" hidden="1" customHeight="1" x14ac:dyDescent="0.2">
      <c r="B7" s="1487"/>
      <c r="C7" s="1488"/>
      <c r="D7" s="1492"/>
      <c r="E7" s="1487"/>
      <c r="F7" s="1487"/>
      <c r="G7" s="1487"/>
      <c r="H7" s="1487"/>
      <c r="I7" s="1487"/>
      <c r="J7" s="1487"/>
      <c r="K7" s="1493"/>
      <c r="L7" s="1492"/>
      <c r="M7" s="1487"/>
      <c r="N7" s="1487"/>
      <c r="O7" s="1487"/>
      <c r="P7" s="1487"/>
      <c r="Q7" s="1487"/>
      <c r="R7" s="1487"/>
      <c r="S7" s="1493"/>
    </row>
    <row r="8" spans="1:19" ht="60" customHeight="1" x14ac:dyDescent="0.25">
      <c r="B8" s="1487" t="s">
        <v>323</v>
      </c>
      <c r="C8" s="1488"/>
      <c r="D8" s="1498" t="s">
        <v>291</v>
      </c>
      <c r="E8" s="1485"/>
      <c r="F8" s="1485" t="s">
        <v>292</v>
      </c>
      <c r="G8" s="1485"/>
      <c r="H8" s="1485" t="s">
        <v>293</v>
      </c>
      <c r="I8" s="1485"/>
      <c r="J8" s="1485" t="s">
        <v>294</v>
      </c>
      <c r="K8" s="1494"/>
      <c r="L8" s="1496"/>
      <c r="M8" s="1485"/>
      <c r="N8" s="1485"/>
      <c r="O8" s="1485"/>
      <c r="P8" s="1485"/>
      <c r="Q8" s="1485"/>
      <c r="R8" s="1485"/>
      <c r="S8" s="1494"/>
    </row>
    <row r="9" spans="1:19" ht="12" x14ac:dyDescent="0.25">
      <c r="B9" s="1485" t="s">
        <v>295</v>
      </c>
      <c r="C9" s="1495"/>
      <c r="D9" s="490" t="s">
        <v>75</v>
      </c>
      <c r="E9" s="489" t="s">
        <v>76</v>
      </c>
      <c r="F9" s="488" t="s">
        <v>75</v>
      </c>
      <c r="G9" s="489" t="s">
        <v>76</v>
      </c>
      <c r="H9" s="488" t="s">
        <v>75</v>
      </c>
      <c r="I9" s="489" t="s">
        <v>76</v>
      </c>
      <c r="J9" s="488" t="s">
        <v>75</v>
      </c>
      <c r="K9" s="491" t="s">
        <v>76</v>
      </c>
      <c r="L9" s="490"/>
      <c r="M9" s="489"/>
      <c r="N9" s="488"/>
      <c r="O9" s="489"/>
      <c r="P9" s="488"/>
      <c r="Q9" s="489"/>
      <c r="R9" s="488"/>
      <c r="S9" s="491"/>
    </row>
    <row r="10" spans="1:19" ht="30.75" hidden="1" customHeight="1" x14ac:dyDescent="0.2">
      <c r="A10" s="484" t="s">
        <v>1203</v>
      </c>
      <c r="B10" s="1487" t="s">
        <v>1122</v>
      </c>
      <c r="C10" s="1488"/>
      <c r="D10" s="585"/>
      <c r="E10" s="501"/>
      <c r="F10" s="501"/>
      <c r="G10" s="501"/>
      <c r="H10" s="502"/>
      <c r="I10" s="502"/>
      <c r="J10" s="502"/>
      <c r="K10" s="504"/>
      <c r="L10" s="503"/>
      <c r="M10" s="502"/>
      <c r="N10" s="502"/>
      <c r="O10" s="502"/>
      <c r="P10" s="502"/>
      <c r="Q10" s="502"/>
      <c r="R10" s="502"/>
      <c r="S10" s="504"/>
    </row>
    <row r="11" spans="1:19" ht="8.1" customHeight="1" x14ac:dyDescent="0.2">
      <c r="B11" s="1497"/>
      <c r="C11" s="1497"/>
      <c r="D11" s="1497"/>
      <c r="E11" s="1497"/>
      <c r="F11" s="1497"/>
      <c r="G11" s="1497"/>
      <c r="H11" s="1497"/>
      <c r="I11" s="1497"/>
      <c r="J11" s="1497"/>
      <c r="K11" s="1497"/>
      <c r="L11" s="1497"/>
      <c r="M11" s="1497"/>
      <c r="N11" s="1497"/>
      <c r="O11" s="1497"/>
      <c r="P11" s="1497"/>
      <c r="Q11" s="1497"/>
      <c r="R11" s="1497"/>
      <c r="S11" s="1497"/>
    </row>
    <row r="12" spans="1:19" ht="11.4" x14ac:dyDescent="0.2">
      <c r="A12" s="484" t="str">
        <f>'t2'!B6</f>
        <v>MD</v>
      </c>
      <c r="B12" s="1487" t="s">
        <v>296</v>
      </c>
      <c r="C12" s="492" t="str">
        <f>'t2'!A6</f>
        <v>MEDICI</v>
      </c>
      <c r="D12" s="505"/>
      <c r="E12" s="502"/>
      <c r="F12" s="502"/>
      <c r="G12" s="502"/>
      <c r="H12" s="502"/>
      <c r="I12" s="502"/>
      <c r="J12" s="502"/>
      <c r="K12" s="504"/>
      <c r="L12" s="503"/>
      <c r="M12" s="502"/>
      <c r="N12" s="502"/>
      <c r="O12" s="502"/>
      <c r="P12" s="502"/>
      <c r="Q12" s="502"/>
      <c r="R12" s="502"/>
      <c r="S12" s="504"/>
    </row>
    <row r="13" spans="1:19" ht="11.4" x14ac:dyDescent="0.2">
      <c r="A13" s="484" t="str">
        <f>'t2'!B7</f>
        <v>AP</v>
      </c>
      <c r="B13" s="1487"/>
      <c r="C13" s="492" t="str">
        <f>'t2'!A7</f>
        <v>PROFESSIONISTI</v>
      </c>
      <c r="D13" s="505"/>
      <c r="E13" s="502"/>
      <c r="F13" s="502"/>
      <c r="G13" s="502"/>
      <c r="H13" s="502"/>
      <c r="I13" s="502"/>
      <c r="J13" s="502"/>
      <c r="K13" s="504"/>
      <c r="L13" s="503"/>
      <c r="M13" s="502"/>
      <c r="N13" s="502"/>
      <c r="O13" s="502"/>
      <c r="P13" s="502"/>
      <c r="Q13" s="502"/>
      <c r="R13" s="502"/>
      <c r="S13" s="504"/>
    </row>
    <row r="14" spans="1:19" ht="22.8" x14ac:dyDescent="0.2">
      <c r="A14" s="484" t="str">
        <f>'t2'!B8</f>
        <v>EP</v>
      </c>
      <c r="B14" s="1487"/>
      <c r="C14" s="907" t="str">
        <f>'t2'!A8</f>
        <v>PERSONALE ELEVATE PROFESSIONALITA</v>
      </c>
      <c r="D14" s="505"/>
      <c r="E14" s="502"/>
      <c r="F14" s="502"/>
      <c r="G14" s="502"/>
      <c r="H14" s="502"/>
      <c r="I14" s="502"/>
      <c r="J14" s="502"/>
      <c r="K14" s="504"/>
      <c r="L14" s="503"/>
      <c r="M14" s="502"/>
      <c r="N14" s="502"/>
      <c r="O14" s="502"/>
      <c r="P14" s="502"/>
      <c r="Q14" s="502"/>
      <c r="R14" s="502"/>
      <c r="S14" s="504"/>
    </row>
    <row r="15" spans="1:19" ht="11.4" x14ac:dyDescent="0.2">
      <c r="A15" s="484" t="str">
        <f>'t2'!B9</f>
        <v>FU</v>
      </c>
      <c r="B15" s="1487"/>
      <c r="C15" s="492" t="str">
        <f>'t2'!A9</f>
        <v>FUNZIONARI</v>
      </c>
      <c r="D15" s="505"/>
      <c r="E15" s="502"/>
      <c r="F15" s="502"/>
      <c r="G15" s="502"/>
      <c r="H15" s="502"/>
      <c r="I15" s="502"/>
      <c r="J15" s="502"/>
      <c r="K15" s="504"/>
      <c r="L15" s="503"/>
      <c r="M15" s="502"/>
      <c r="N15" s="502"/>
      <c r="O15" s="502"/>
      <c r="P15" s="502"/>
      <c r="Q15" s="502"/>
      <c r="R15" s="502"/>
      <c r="S15" s="504"/>
    </row>
    <row r="16" spans="1:19" ht="11.4" x14ac:dyDescent="0.2">
      <c r="A16" s="484" t="str">
        <f>'t2'!B10</f>
        <v>AT</v>
      </c>
      <c r="B16" s="1487"/>
      <c r="C16" s="492" t="str">
        <f>'t2'!A10</f>
        <v>ASSISTENTI</v>
      </c>
      <c r="D16" s="505"/>
      <c r="E16" s="502"/>
      <c r="F16" s="502"/>
      <c r="G16" s="502"/>
      <c r="H16" s="502"/>
      <c r="I16" s="502"/>
      <c r="J16" s="502"/>
      <c r="K16" s="504"/>
      <c r="L16" s="503"/>
      <c r="M16" s="502"/>
      <c r="N16" s="502"/>
      <c r="O16" s="502"/>
      <c r="P16" s="502"/>
      <c r="Q16" s="502"/>
      <c r="R16" s="502"/>
      <c r="S16" s="504"/>
    </row>
    <row r="17" spans="1:20" ht="11.4" x14ac:dyDescent="0.2">
      <c r="A17" s="484" t="str">
        <f>'t2'!B11</f>
        <v>OP</v>
      </c>
      <c r="B17" s="1487"/>
      <c r="C17" s="492" t="str">
        <f>'t2'!A11</f>
        <v>OPERATORI</v>
      </c>
      <c r="D17" s="505"/>
      <c r="E17" s="502"/>
      <c r="F17" s="502"/>
      <c r="G17" s="502"/>
      <c r="H17" s="502"/>
      <c r="I17" s="502"/>
      <c r="J17" s="502"/>
      <c r="K17" s="504"/>
      <c r="L17" s="503"/>
      <c r="M17" s="502"/>
      <c r="N17" s="502"/>
      <c r="O17" s="502"/>
      <c r="P17" s="502"/>
      <c r="Q17" s="502"/>
      <c r="R17" s="502"/>
      <c r="S17" s="504"/>
    </row>
    <row r="18" spans="1:20" ht="11.4" x14ac:dyDescent="0.2">
      <c r="A18" s="484" t="str">
        <f>'t2'!B12</f>
        <v>PC</v>
      </c>
      <c r="B18" s="1487"/>
      <c r="C18" s="492" t="str">
        <f>'t2'!A12</f>
        <v>PERSONALE CONTRATTISTA</v>
      </c>
      <c r="D18" s="505"/>
      <c r="E18" s="502"/>
      <c r="F18" s="502"/>
      <c r="G18" s="502"/>
      <c r="H18" s="502"/>
      <c r="I18" s="502"/>
      <c r="J18" s="502"/>
      <c r="K18" s="504"/>
      <c r="L18" s="503"/>
      <c r="M18" s="502"/>
      <c r="N18" s="502"/>
      <c r="O18" s="502"/>
      <c r="P18" s="502"/>
      <c r="Q18" s="502"/>
      <c r="R18" s="502"/>
      <c r="S18" s="504"/>
    </row>
    <row r="19" spans="1:20" ht="12.6" x14ac:dyDescent="0.3">
      <c r="B19" s="1487"/>
      <c r="C19" s="493" t="s">
        <v>297</v>
      </c>
      <c r="D19" s="506">
        <f t="shared" ref="D19:K19" si="0">SUM(D12:D18)</f>
        <v>0</v>
      </c>
      <c r="E19" s="507">
        <f t="shared" si="0"/>
        <v>0</v>
      </c>
      <c r="F19" s="507">
        <f t="shared" si="0"/>
        <v>0</v>
      </c>
      <c r="G19" s="507">
        <f t="shared" si="0"/>
        <v>0</v>
      </c>
      <c r="H19" s="507">
        <f t="shared" si="0"/>
        <v>0</v>
      </c>
      <c r="I19" s="507">
        <f t="shared" si="0"/>
        <v>0</v>
      </c>
      <c r="J19" s="507">
        <f t="shared" si="0"/>
        <v>0</v>
      </c>
      <c r="K19" s="508">
        <f t="shared" si="0"/>
        <v>0</v>
      </c>
      <c r="L19" s="506"/>
      <c r="M19" s="507"/>
      <c r="N19" s="507"/>
      <c r="O19" s="507"/>
      <c r="P19" s="507"/>
      <c r="Q19" s="507"/>
      <c r="R19" s="507"/>
      <c r="S19" s="508"/>
      <c r="T19" s="486">
        <f>SUM(D19:S19,D10:S10)</f>
        <v>0</v>
      </c>
    </row>
    <row r="27" spans="1:20" ht="16.5" customHeight="1" x14ac:dyDescent="0.2"/>
    <row r="28" spans="1:20" ht="13.2" x14ac:dyDescent="0.25">
      <c r="F28" s="487"/>
      <c r="G28" s="487"/>
    </row>
    <row r="29" spans="1:20" ht="13.2" x14ac:dyDescent="0.25">
      <c r="F29" s="487"/>
      <c r="G29" s="487"/>
    </row>
    <row r="31" spans="1:20" ht="13.2" x14ac:dyDescent="0.25">
      <c r="F31" s="487"/>
      <c r="G31" s="487"/>
    </row>
    <row r="33" spans="6:7" ht="13.2" x14ac:dyDescent="0.25">
      <c r="F33" s="487"/>
      <c r="G33" s="487"/>
    </row>
  </sheetData>
  <sheetProtection algorithmName="SHA-512" hashValue="VEDe4Lau0sn/aCR00I3QvVlIHFnEu348BuC0bSEOrxj8MWHKiR6oS22QPcqyjve0rq5p6mEGUtjLL0iCiKI80A==" saltValue="+MhjWG5Acfka0usUhFXU4A==" spinCount="100000" sheet="1" formatColumns="0" selectLockedCells="1"/>
  <mergeCells count="17">
    <mergeCell ref="B12:B19"/>
    <mergeCell ref="P8:Q8"/>
    <mergeCell ref="R8:S8"/>
    <mergeCell ref="B9:C9"/>
    <mergeCell ref="B10:C10"/>
    <mergeCell ref="J8:K8"/>
    <mergeCell ref="L8:M8"/>
    <mergeCell ref="N8:O8"/>
    <mergeCell ref="B11:S11"/>
    <mergeCell ref="B8:C8"/>
    <mergeCell ref="D8:E8"/>
    <mergeCell ref="F8:G8"/>
    <mergeCell ref="H8:I8"/>
    <mergeCell ref="B1:S1"/>
    <mergeCell ref="B6:C7"/>
    <mergeCell ref="D6:K7"/>
    <mergeCell ref="L6:S7"/>
  </mergeCells>
  <phoneticPr fontId="0" type="noConversion"/>
  <dataValidations count="1">
    <dataValidation type="whole" allowBlank="1" showInputMessage="1" showErrorMessage="1" errorTitle="ERRORE" error="INSERIRE SOLO NUMERI INTERI COMPRESI TRA 0 E 9999999" sqref="D10:S10 D12:S18" xr:uid="{00000000-0002-0000-0500-000000000000}">
      <formula1>0</formula1>
      <formula2>9999999</formula2>
    </dataValidation>
  </dataValidations>
  <pageMargins left="0.39" right="0.4" top="1" bottom="1" header="0.5" footer="0.5"/>
  <pageSetup paperSize="9" orientation="landscape" horizontalDpi="0" verticalDpi="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glio10"/>
  <dimension ref="A1:V31"/>
  <sheetViews>
    <sheetView showGridLines="0" workbookViewId="0">
      <pane xSplit="2" ySplit="5" topLeftCell="C6" activePane="bottomRight" state="frozen"/>
      <selection activeCell="C4" sqref="C4:C6"/>
      <selection pane="topRight" activeCell="C4" sqref="C4:C6"/>
      <selection pane="bottomLeft" activeCell="C4" sqref="C4:C6"/>
      <selection pane="bottomRight" activeCell="C6" sqref="C6"/>
    </sheetView>
  </sheetViews>
  <sheetFormatPr defaultColWidth="10.7109375" defaultRowHeight="10.199999999999999" x14ac:dyDescent="0.2"/>
  <cols>
    <col min="1" max="1" width="41.7109375" style="80" customWidth="1"/>
    <col min="2" max="2" width="10.7109375" style="89" customWidth="1"/>
    <col min="3" max="14" width="11.42578125" style="80" customWidth="1"/>
    <col min="15" max="16" width="11.42578125" customWidth="1"/>
    <col min="17" max="17" width="9.140625" style="80" hidden="1" customWidth="1"/>
    <col min="18" max="18" width="9.140625" style="80" customWidth="1"/>
    <col min="19" max="19" width="6.7109375" style="80" customWidth="1"/>
    <col min="20" max="23" width="10.7109375" style="80" customWidth="1"/>
    <col min="24" max="16384" width="10.7109375" style="80"/>
  </cols>
  <sheetData>
    <row r="1" spans="1:18" s="3" customFormat="1" ht="43.5" customHeight="1" x14ac:dyDescent="0.2">
      <c r="A1" s="1463" t="str">
        <f>'t1'!A1</f>
        <v>ENTI PUBBLICI NON ECONOMICI - anno 2023</v>
      </c>
      <c r="B1" s="1463"/>
      <c r="C1" s="1463"/>
      <c r="D1" s="1463"/>
      <c r="E1" s="1463"/>
      <c r="F1" s="1463"/>
      <c r="G1" s="1463"/>
      <c r="H1" s="1463"/>
      <c r="I1" s="1463"/>
      <c r="J1" s="1463"/>
      <c r="K1" s="1463"/>
      <c r="L1" s="1463"/>
      <c r="N1" s="286"/>
      <c r="O1"/>
      <c r="P1"/>
      <c r="Q1"/>
    </row>
    <row r="2" spans="1:18" s="3" customFormat="1" ht="30" customHeight="1" thickBot="1" x14ac:dyDescent="0.25">
      <c r="A2" s="285"/>
      <c r="B2" s="2"/>
      <c r="F2" s="1499"/>
      <c r="G2" s="1499"/>
      <c r="H2" s="1499"/>
      <c r="I2" s="1499"/>
      <c r="J2" s="1499"/>
      <c r="K2" s="1499"/>
      <c r="L2" s="1499"/>
      <c r="M2" s="1499"/>
      <c r="N2" s="1499"/>
      <c r="O2"/>
      <c r="P2"/>
      <c r="Q2"/>
    </row>
    <row r="3" spans="1:18" ht="18.75" customHeight="1" thickBot="1" x14ac:dyDescent="0.25">
      <c r="A3" s="81"/>
      <c r="B3" s="82"/>
      <c r="C3" s="121" t="s">
        <v>126</v>
      </c>
      <c r="D3" s="122"/>
      <c r="E3" s="122"/>
      <c r="F3" s="123"/>
      <c r="G3" s="122"/>
      <c r="H3" s="122"/>
      <c r="I3" s="122"/>
      <c r="J3" s="122"/>
      <c r="K3" s="1503" t="s">
        <v>127</v>
      </c>
      <c r="L3" s="1504"/>
      <c r="M3" s="1504"/>
      <c r="N3" s="1504"/>
      <c r="O3" s="1504"/>
      <c r="P3" s="1505"/>
      <c r="Q3"/>
      <c r="R3"/>
    </row>
    <row r="4" spans="1:18" ht="21.75" customHeight="1" thickTop="1" x14ac:dyDescent="0.2">
      <c r="A4" s="259" t="s">
        <v>124</v>
      </c>
      <c r="B4" s="260" t="s">
        <v>57</v>
      </c>
      <c r="C4" s="124" t="s">
        <v>170</v>
      </c>
      <c r="D4" s="125"/>
      <c r="E4" s="1500" t="s">
        <v>86</v>
      </c>
      <c r="F4" s="1501"/>
      <c r="G4" s="1502" t="s">
        <v>49</v>
      </c>
      <c r="H4" s="1502"/>
      <c r="I4" s="1506" t="s">
        <v>724</v>
      </c>
      <c r="J4" s="1507"/>
      <c r="K4" s="124" t="s">
        <v>170</v>
      </c>
      <c r="L4" s="126"/>
      <c r="M4" s="127" t="s">
        <v>86</v>
      </c>
      <c r="N4" s="126"/>
      <c r="O4" s="127" t="s">
        <v>49</v>
      </c>
      <c r="P4" s="126"/>
      <c r="Q4"/>
      <c r="R4"/>
    </row>
    <row r="5" spans="1:18" ht="10.8" thickBot="1" x14ac:dyDescent="0.25">
      <c r="A5" s="717" t="s">
        <v>609</v>
      </c>
      <c r="B5" s="261"/>
      <c r="C5" s="128" t="s">
        <v>58</v>
      </c>
      <c r="D5" s="129" t="s">
        <v>59</v>
      </c>
      <c r="E5" s="130" t="s">
        <v>58</v>
      </c>
      <c r="F5" s="129" t="s">
        <v>59</v>
      </c>
      <c r="G5" s="130" t="s">
        <v>58</v>
      </c>
      <c r="H5" s="129" t="s">
        <v>59</v>
      </c>
      <c r="I5" s="130" t="s">
        <v>58</v>
      </c>
      <c r="J5" s="129" t="s">
        <v>59</v>
      </c>
      <c r="K5" s="131" t="s">
        <v>58</v>
      </c>
      <c r="L5" s="132" t="s">
        <v>59</v>
      </c>
      <c r="M5" s="133" t="s">
        <v>58</v>
      </c>
      <c r="N5" s="132" t="s">
        <v>59</v>
      </c>
      <c r="O5" s="133" t="s">
        <v>58</v>
      </c>
      <c r="P5" s="132" t="s">
        <v>59</v>
      </c>
      <c r="Q5"/>
      <c r="R5"/>
    </row>
    <row r="6" spans="1:18" ht="12.75" customHeight="1" thickTop="1" x14ac:dyDescent="0.2">
      <c r="A6" s="17" t="str">
        <f>'t1'!A6</f>
        <v>DIRETTORE GENERALE</v>
      </c>
      <c r="B6" s="262" t="str">
        <f>'t1'!B6</f>
        <v>0D0097</v>
      </c>
      <c r="C6" s="202"/>
      <c r="D6" s="203"/>
      <c r="E6" s="204"/>
      <c r="F6" s="457"/>
      <c r="G6" s="459"/>
      <c r="H6" s="203"/>
      <c r="I6" s="459"/>
      <c r="J6" s="203"/>
      <c r="K6" s="205"/>
      <c r="L6" s="206"/>
      <c r="M6" s="207"/>
      <c r="N6" s="509"/>
      <c r="O6" s="510"/>
      <c r="P6" s="495"/>
      <c r="Q6" s="708">
        <f>'t1'!M6</f>
        <v>0</v>
      </c>
      <c r="R6"/>
    </row>
    <row r="7" spans="1:18" ht="12.75" customHeight="1" x14ac:dyDescent="0.2">
      <c r="A7" s="16" t="str">
        <f>'t1'!A7</f>
        <v>DIRIGENTE I FASCIA</v>
      </c>
      <c r="B7" s="263" t="str">
        <f>'t1'!B7</f>
        <v>0D0077</v>
      </c>
      <c r="C7" s="202"/>
      <c r="D7" s="203"/>
      <c r="E7" s="204"/>
      <c r="F7" s="457"/>
      <c r="G7" s="211"/>
      <c r="H7" s="203"/>
      <c r="I7" s="211"/>
      <c r="J7" s="203"/>
      <c r="K7" s="205"/>
      <c r="L7" s="206"/>
      <c r="M7" s="207"/>
      <c r="N7" s="511"/>
      <c r="O7" s="512"/>
      <c r="P7" s="496"/>
      <c r="Q7" s="708">
        <f>'t1'!M7</f>
        <v>0</v>
      </c>
      <c r="R7"/>
    </row>
    <row r="8" spans="1:18" ht="12.75" customHeight="1" x14ac:dyDescent="0.2">
      <c r="A8" s="16" t="str">
        <f>'t1'!A8</f>
        <v>DIRIGENTE I FASCIA A TEMPO DETERM.</v>
      </c>
      <c r="B8" s="263" t="str">
        <f>'t1'!B8</f>
        <v>0D0078</v>
      </c>
      <c r="C8" s="202"/>
      <c r="D8" s="203"/>
      <c r="E8" s="204"/>
      <c r="F8" s="457"/>
      <c r="G8" s="211"/>
      <c r="H8" s="203"/>
      <c r="I8" s="211"/>
      <c r="J8" s="203"/>
      <c r="K8" s="205"/>
      <c r="L8" s="206"/>
      <c r="M8" s="207"/>
      <c r="N8" s="511"/>
      <c r="O8" s="512"/>
      <c r="P8" s="496"/>
      <c r="Q8" s="708">
        <f>'t1'!M8</f>
        <v>0</v>
      </c>
      <c r="R8"/>
    </row>
    <row r="9" spans="1:18" ht="12.75" customHeight="1" x14ac:dyDescent="0.2">
      <c r="A9" s="16" t="str">
        <f>'t1'!A9</f>
        <v>DIRIGENTE II FASCIA</v>
      </c>
      <c r="B9" s="263" t="str">
        <f>'t1'!B9</f>
        <v>0D0079</v>
      </c>
      <c r="C9" s="202"/>
      <c r="D9" s="203"/>
      <c r="E9" s="204"/>
      <c r="F9" s="457"/>
      <c r="G9" s="211"/>
      <c r="H9" s="203"/>
      <c r="I9" s="211"/>
      <c r="J9" s="203"/>
      <c r="K9" s="205"/>
      <c r="L9" s="206"/>
      <c r="M9" s="207"/>
      <c r="N9" s="511"/>
      <c r="O9" s="512"/>
      <c r="P9" s="496"/>
      <c r="Q9" s="708">
        <f>'t1'!M9</f>
        <v>0</v>
      </c>
      <c r="R9"/>
    </row>
    <row r="10" spans="1:18" ht="12.75" customHeight="1" x14ac:dyDescent="0.2">
      <c r="A10" s="16" t="str">
        <f>'t1'!A10</f>
        <v>DIRIGENTE II FASCIA A TEMPO DETERM.</v>
      </c>
      <c r="B10" s="263" t="str">
        <f>'t1'!B10</f>
        <v>0D0080</v>
      </c>
      <c r="C10" s="202"/>
      <c r="D10" s="203"/>
      <c r="E10" s="204"/>
      <c r="F10" s="457"/>
      <c r="G10" s="211"/>
      <c r="H10" s="203"/>
      <c r="I10" s="211"/>
      <c r="J10" s="203"/>
      <c r="K10" s="205"/>
      <c r="L10" s="206"/>
      <c r="M10" s="207"/>
      <c r="N10" s="511"/>
      <c r="O10" s="512"/>
      <c r="P10" s="496"/>
      <c r="Q10" s="708">
        <f>'t1'!M10</f>
        <v>0</v>
      </c>
      <c r="R10"/>
    </row>
    <row r="11" spans="1:18" ht="12.75" customHeight="1" x14ac:dyDescent="0.2">
      <c r="A11" s="16" t="str">
        <f>'t1'!A11</f>
        <v>MEDICO II FASCIA T.P.</v>
      </c>
      <c r="B11" s="263" t="str">
        <f>'t1'!B11</f>
        <v>0D0584</v>
      </c>
      <c r="C11" s="202"/>
      <c r="D11" s="203"/>
      <c r="E11" s="204"/>
      <c r="F11" s="457"/>
      <c r="G11" s="211"/>
      <c r="H11" s="203"/>
      <c r="I11" s="211"/>
      <c r="J11" s="203"/>
      <c r="K11" s="205"/>
      <c r="L11" s="206"/>
      <c r="M11" s="207"/>
      <c r="N11" s="511"/>
      <c r="O11" s="512"/>
      <c r="P11" s="496"/>
      <c r="Q11" s="708">
        <f>'t1'!M11</f>
        <v>0</v>
      </c>
      <c r="R11"/>
    </row>
    <row r="12" spans="1:18" ht="12.75" customHeight="1" x14ac:dyDescent="0.2">
      <c r="A12" s="16" t="str">
        <f>'t1'!A12</f>
        <v>MEDICO I FASCIA T.P.</v>
      </c>
      <c r="B12" s="263" t="str">
        <f>'t1'!B12</f>
        <v>0D0585</v>
      </c>
      <c r="C12" s="202"/>
      <c r="D12" s="203"/>
      <c r="E12" s="204"/>
      <c r="F12" s="457"/>
      <c r="G12" s="211"/>
      <c r="H12" s="203"/>
      <c r="I12" s="211"/>
      <c r="J12" s="203"/>
      <c r="K12" s="205"/>
      <c r="L12" s="206"/>
      <c r="M12" s="207"/>
      <c r="N12" s="511"/>
      <c r="O12" s="512"/>
      <c r="P12" s="496"/>
      <c r="Q12" s="708">
        <f>'t1'!M12</f>
        <v>0</v>
      </c>
      <c r="R12"/>
    </row>
    <row r="13" spans="1:18" ht="12.75" customHeight="1" x14ac:dyDescent="0.2">
      <c r="A13" s="16" t="str">
        <f>'t1'!A13</f>
        <v>MEDICO II FASCIA T.D.</v>
      </c>
      <c r="B13" s="263" t="str">
        <f>'t1'!B13</f>
        <v>0D0586</v>
      </c>
      <c r="C13" s="202"/>
      <c r="D13" s="203"/>
      <c r="E13" s="204"/>
      <c r="F13" s="457"/>
      <c r="G13" s="211"/>
      <c r="H13" s="203"/>
      <c r="I13" s="211"/>
      <c r="J13" s="203"/>
      <c r="K13" s="205"/>
      <c r="L13" s="206"/>
      <c r="M13" s="207"/>
      <c r="N13" s="511"/>
      <c r="O13" s="512"/>
      <c r="P13" s="496"/>
      <c r="Q13" s="708">
        <f>'t1'!M13</f>
        <v>0</v>
      </c>
      <c r="R13"/>
    </row>
    <row r="14" spans="1:18" ht="12.75" customHeight="1" x14ac:dyDescent="0.2">
      <c r="A14" s="16" t="str">
        <f>'t1'!A14</f>
        <v>MEDICO I FASCIA T.D.</v>
      </c>
      <c r="B14" s="263" t="str">
        <f>'t1'!B14</f>
        <v>0D0496</v>
      </c>
      <c r="C14" s="202"/>
      <c r="D14" s="203"/>
      <c r="E14" s="204"/>
      <c r="F14" s="457"/>
      <c r="G14" s="211"/>
      <c r="H14" s="203"/>
      <c r="I14" s="211"/>
      <c r="J14" s="203"/>
      <c r="K14" s="205"/>
      <c r="L14" s="206"/>
      <c r="M14" s="207"/>
      <c r="N14" s="511"/>
      <c r="O14" s="512"/>
      <c r="P14" s="496"/>
      <c r="Q14" s="708">
        <f>'t1'!M14</f>
        <v>0</v>
      </c>
      <c r="R14"/>
    </row>
    <row r="15" spans="1:18" ht="12.75" customHeight="1" x14ac:dyDescent="0.2">
      <c r="A15" s="16" t="str">
        <f>'t1'!A15</f>
        <v>PROF.STI LEGALI LIV. II DIFF.</v>
      </c>
      <c r="B15" s="263" t="str">
        <f>'t1'!B15</f>
        <v>0D0473</v>
      </c>
      <c r="C15" s="202"/>
      <c r="D15" s="203"/>
      <c r="E15" s="204"/>
      <c r="F15" s="457"/>
      <c r="G15" s="211"/>
      <c r="H15" s="203"/>
      <c r="I15" s="211"/>
      <c r="J15" s="203"/>
      <c r="K15" s="205"/>
      <c r="L15" s="206"/>
      <c r="M15" s="207"/>
      <c r="N15" s="511"/>
      <c r="O15" s="512"/>
      <c r="P15" s="496"/>
      <c r="Q15" s="708">
        <f>'t1'!M15</f>
        <v>0</v>
      </c>
      <c r="R15"/>
    </row>
    <row r="16" spans="1:18" ht="12.75" customHeight="1" x14ac:dyDescent="0.2">
      <c r="A16" s="16" t="str">
        <f>'t1'!A16</f>
        <v>PROF.STI LEGALI LIV. I DIFF.</v>
      </c>
      <c r="B16" s="263" t="str">
        <f>'t1'!B16</f>
        <v>0D0472</v>
      </c>
      <c r="C16" s="202"/>
      <c r="D16" s="203"/>
      <c r="E16" s="204"/>
      <c r="F16" s="457"/>
      <c r="G16" s="211"/>
      <c r="H16" s="203"/>
      <c r="I16" s="211"/>
      <c r="J16" s="203"/>
      <c r="K16" s="205"/>
      <c r="L16" s="206"/>
      <c r="M16" s="207"/>
      <c r="N16" s="511"/>
      <c r="O16" s="512"/>
      <c r="P16" s="496"/>
      <c r="Q16" s="708">
        <f>'t1'!M16</f>
        <v>0</v>
      </c>
      <c r="R16"/>
    </row>
    <row r="17" spans="1:22" ht="12.75" customHeight="1" x14ac:dyDescent="0.2">
      <c r="A17" s="16" t="str">
        <f>'t1'!A17</f>
        <v>PROF.STI LEGALI</v>
      </c>
      <c r="B17" s="263" t="str">
        <f>'t1'!B17</f>
        <v>0D0084</v>
      </c>
      <c r="C17" s="202"/>
      <c r="D17" s="203"/>
      <c r="E17" s="204"/>
      <c r="F17" s="457"/>
      <c r="G17" s="211"/>
      <c r="H17" s="203"/>
      <c r="I17" s="211"/>
      <c r="J17" s="203"/>
      <c r="K17" s="205"/>
      <c r="L17" s="206"/>
      <c r="M17" s="207"/>
      <c r="N17" s="511"/>
      <c r="O17" s="512"/>
      <c r="P17" s="496"/>
      <c r="Q17" s="708">
        <f>'t1'!M17</f>
        <v>0</v>
      </c>
      <c r="R17"/>
    </row>
    <row r="18" spans="1:22" ht="12.75" customHeight="1" x14ac:dyDescent="0.2">
      <c r="A18" s="16" t="str">
        <f>'t1'!A18</f>
        <v>ALTRI PROF.STI LIV. II DIFF.</v>
      </c>
      <c r="B18" s="263" t="str">
        <f>'t1'!B18</f>
        <v>0D0481</v>
      </c>
      <c r="C18" s="202"/>
      <c r="D18" s="203"/>
      <c r="E18" s="204"/>
      <c r="F18" s="457"/>
      <c r="G18" s="211"/>
      <c r="H18" s="203"/>
      <c r="I18" s="211"/>
      <c r="J18" s="203"/>
      <c r="K18" s="205"/>
      <c r="L18" s="206"/>
      <c r="M18" s="207"/>
      <c r="N18" s="511"/>
      <c r="O18" s="512"/>
      <c r="P18" s="496"/>
      <c r="Q18" s="708">
        <f>'t1'!M18</f>
        <v>0</v>
      </c>
      <c r="R18"/>
    </row>
    <row r="19" spans="1:22" ht="12.75" customHeight="1" x14ac:dyDescent="0.2">
      <c r="A19" s="16" t="str">
        <f>'t1'!A19</f>
        <v>ALTRI PROF.STI LIV. I DIFF.</v>
      </c>
      <c r="B19" s="263" t="str">
        <f>'t1'!B19</f>
        <v>0D0480</v>
      </c>
      <c r="C19" s="202"/>
      <c r="D19" s="203"/>
      <c r="E19" s="204"/>
      <c r="F19" s="457"/>
      <c r="G19" s="211"/>
      <c r="H19" s="203"/>
      <c r="I19" s="211"/>
      <c r="J19" s="203"/>
      <c r="K19" s="205"/>
      <c r="L19" s="206"/>
      <c r="M19" s="207"/>
      <c r="N19" s="511"/>
      <c r="O19" s="512"/>
      <c r="P19" s="496"/>
      <c r="Q19" s="708">
        <f>'t1'!M19</f>
        <v>0</v>
      </c>
      <c r="R19"/>
    </row>
    <row r="20" spans="1:22" ht="12.75" customHeight="1" x14ac:dyDescent="0.2">
      <c r="A20" s="16" t="str">
        <f>'t1'!A20</f>
        <v>ALTRI PROF.STI</v>
      </c>
      <c r="B20" s="263" t="str">
        <f>'t1'!B20</f>
        <v>0D0075</v>
      </c>
      <c r="C20" s="202"/>
      <c r="D20" s="203"/>
      <c r="E20" s="204"/>
      <c r="F20" s="457"/>
      <c r="G20" s="211"/>
      <c r="H20" s="203"/>
      <c r="I20" s="211"/>
      <c r="J20" s="203"/>
      <c r="K20" s="205"/>
      <c r="L20" s="206"/>
      <c r="M20" s="207"/>
      <c r="N20" s="511"/>
      <c r="O20" s="512"/>
      <c r="P20" s="496"/>
      <c r="Q20" s="708">
        <f>'t1'!M20</f>
        <v>0</v>
      </c>
      <c r="R20"/>
    </row>
    <row r="21" spans="1:22" ht="12.75" customHeight="1" x14ac:dyDescent="0.2">
      <c r="A21" s="16" t="str">
        <f>'t1'!A21</f>
        <v>ELEVATE PROFESSIONALITA'</v>
      </c>
      <c r="B21" s="263" t="str">
        <f>'t1'!B21</f>
        <v>0EP981</v>
      </c>
      <c r="C21" s="202"/>
      <c r="D21" s="203"/>
      <c r="E21" s="204"/>
      <c r="F21" s="457"/>
      <c r="G21" s="211"/>
      <c r="H21" s="203"/>
      <c r="I21" s="211"/>
      <c r="J21" s="203"/>
      <c r="K21" s="205"/>
      <c r="L21" s="206"/>
      <c r="M21" s="207"/>
      <c r="N21" s="511"/>
      <c r="O21" s="512"/>
      <c r="P21" s="496"/>
      <c r="Q21" s="708">
        <f>'t1'!M21</f>
        <v>0</v>
      </c>
      <c r="R21"/>
    </row>
    <row r="22" spans="1:22" ht="12.75" customHeight="1" x14ac:dyDescent="0.2">
      <c r="A22" s="16" t="str">
        <f>'t1'!A22</f>
        <v>FUNZIONARI</v>
      </c>
      <c r="B22" s="263" t="str">
        <f>'t1'!B22</f>
        <v>0FZ000</v>
      </c>
      <c r="C22" s="202"/>
      <c r="D22" s="203"/>
      <c r="E22" s="204"/>
      <c r="F22" s="457"/>
      <c r="G22" s="211"/>
      <c r="H22" s="203"/>
      <c r="I22" s="211"/>
      <c r="J22" s="203"/>
      <c r="K22" s="205"/>
      <c r="L22" s="206"/>
      <c r="M22" s="207"/>
      <c r="N22" s="511"/>
      <c r="O22" s="512"/>
      <c r="P22" s="496"/>
      <c r="Q22" s="708">
        <f>'t1'!M22</f>
        <v>0</v>
      </c>
      <c r="R22"/>
    </row>
    <row r="23" spans="1:22" ht="12.75" customHeight="1" x14ac:dyDescent="0.2">
      <c r="A23" s="16" t="str">
        <f>'t1'!A23</f>
        <v>ASSISTENTI</v>
      </c>
      <c r="B23" s="263" t="str">
        <f>'t1'!B23</f>
        <v>0AS000</v>
      </c>
      <c r="C23" s="202"/>
      <c r="D23" s="203"/>
      <c r="E23" s="204"/>
      <c r="F23" s="457"/>
      <c r="G23" s="211"/>
      <c r="H23" s="203"/>
      <c r="I23" s="211"/>
      <c r="J23" s="203"/>
      <c r="K23" s="205"/>
      <c r="L23" s="206"/>
      <c r="M23" s="207"/>
      <c r="N23" s="511"/>
      <c r="O23" s="512"/>
      <c r="P23" s="496"/>
      <c r="Q23" s="708">
        <f>'t1'!M23</f>
        <v>0</v>
      </c>
      <c r="R23"/>
    </row>
    <row r="24" spans="1:22" ht="12.75" customHeight="1" x14ac:dyDescent="0.2">
      <c r="A24" s="16" t="str">
        <f>'t1'!A24</f>
        <v>OPERATORI</v>
      </c>
      <c r="B24" s="263" t="str">
        <f>'t1'!B24</f>
        <v>0OP000</v>
      </c>
      <c r="C24" s="202"/>
      <c r="D24" s="203"/>
      <c r="E24" s="204"/>
      <c r="F24" s="457"/>
      <c r="G24" s="211"/>
      <c r="H24" s="203"/>
      <c r="I24" s="211"/>
      <c r="J24" s="203"/>
      <c r="K24" s="205"/>
      <c r="L24" s="206"/>
      <c r="M24" s="207"/>
      <c r="N24" s="511"/>
      <c r="O24" s="512"/>
      <c r="P24" s="496"/>
      <c r="Q24" s="708">
        <f>'t1'!M24</f>
        <v>0</v>
      </c>
      <c r="R24"/>
    </row>
    <row r="25" spans="1:22" ht="12.75" customHeight="1" thickBot="1" x14ac:dyDescent="0.25">
      <c r="A25" s="16" t="str">
        <f>'t1'!A25</f>
        <v>CONTRATTISTI</v>
      </c>
      <c r="B25" s="263" t="str">
        <f>'t1'!B25</f>
        <v>000061</v>
      </c>
      <c r="C25" s="202"/>
      <c r="D25" s="203"/>
      <c r="E25" s="204"/>
      <c r="F25" s="457"/>
      <c r="G25" s="211"/>
      <c r="H25" s="203"/>
      <c r="I25" s="211"/>
      <c r="J25" s="203"/>
      <c r="K25" s="205"/>
      <c r="L25" s="206"/>
      <c r="M25" s="207"/>
      <c r="N25" s="511"/>
      <c r="O25" s="512"/>
      <c r="P25" s="496"/>
      <c r="Q25" s="708">
        <f>'t1'!M25</f>
        <v>0</v>
      </c>
      <c r="R25"/>
    </row>
    <row r="26" spans="1:22" ht="15.75" customHeight="1" thickTop="1" thickBot="1" x14ac:dyDescent="0.25">
      <c r="A26" s="87" t="s">
        <v>60</v>
      </c>
      <c r="B26" s="146"/>
      <c r="C26" s="385">
        <f t="shared" ref="C26:P26" si="0">SUM(C6:C25)</f>
        <v>0</v>
      </c>
      <c r="D26" s="386">
        <f t="shared" si="0"/>
        <v>0</v>
      </c>
      <c r="E26" s="387">
        <f t="shared" si="0"/>
        <v>0</v>
      </c>
      <c r="F26" s="458">
        <f t="shared" si="0"/>
        <v>0</v>
      </c>
      <c r="G26" s="387">
        <f t="shared" si="0"/>
        <v>0</v>
      </c>
      <c r="H26" s="456">
        <f t="shared" si="0"/>
        <v>0</v>
      </c>
      <c r="I26" s="387">
        <f t="shared" si="0"/>
        <v>0</v>
      </c>
      <c r="J26" s="456">
        <f t="shared" si="0"/>
        <v>0</v>
      </c>
      <c r="K26" s="385">
        <f t="shared" si="0"/>
        <v>0</v>
      </c>
      <c r="L26" s="386">
        <f t="shared" si="0"/>
        <v>0</v>
      </c>
      <c r="M26" s="387">
        <f t="shared" si="0"/>
        <v>0</v>
      </c>
      <c r="N26" s="386">
        <f t="shared" si="0"/>
        <v>0</v>
      </c>
      <c r="O26" s="513">
        <f t="shared" si="0"/>
        <v>0</v>
      </c>
      <c r="P26" s="469">
        <f t="shared" si="0"/>
        <v>0</v>
      </c>
      <c r="Q26"/>
      <c r="R26"/>
    </row>
    <row r="27" spans="1:22" x14ac:dyDescent="0.2">
      <c r="A27" s="18"/>
      <c r="B27" s="147"/>
      <c r="C27" s="3"/>
      <c r="D27" s="3"/>
      <c r="E27" s="3"/>
      <c r="F27" s="3"/>
      <c r="G27" s="3"/>
      <c r="H27" s="3"/>
      <c r="I27" s="3"/>
      <c r="J27" s="3"/>
      <c r="K27" s="3"/>
      <c r="L27" s="3"/>
      <c r="M27" s="3"/>
      <c r="N27" s="3"/>
    </row>
    <row r="28" spans="1:22" x14ac:dyDescent="0.2">
      <c r="A28" s="18" t="str">
        <f>'t1'!$A$27</f>
        <v>(a) personale a tempo indeterminato al quale viene applicato un contratto di lavoro di tipo privatistico (es.:tipografico,chimico,edile,metalmeccanico,portierato, ecc.)</v>
      </c>
      <c r="B28" s="147"/>
      <c r="C28" s="3"/>
      <c r="D28" s="149"/>
      <c r="E28" s="3"/>
      <c r="F28" s="3"/>
      <c r="G28" s="3"/>
      <c r="H28" s="3"/>
      <c r="I28" s="3"/>
      <c r="J28" s="3"/>
      <c r="K28" s="3"/>
      <c r="L28" s="3"/>
      <c r="M28" s="3"/>
      <c r="N28" s="3"/>
      <c r="Q28" s="3"/>
      <c r="R28" s="3"/>
      <c r="S28" s="3"/>
      <c r="T28" s="3"/>
      <c r="U28" s="3"/>
      <c r="V28" s="3"/>
    </row>
    <row r="29" spans="1:22" s="3" customFormat="1" x14ac:dyDescent="0.2">
      <c r="A29" s="18"/>
      <c r="B29" s="2"/>
    </row>
    <row r="30" spans="1:22" x14ac:dyDescent="0.2">
      <c r="A30" s="18" t="s">
        <v>227</v>
      </c>
      <c r="B30" s="148"/>
    </row>
    <row r="31" spans="1:22" x14ac:dyDescent="0.2">
      <c r="A31" s="69" t="s">
        <v>128</v>
      </c>
    </row>
  </sheetData>
  <sheetProtection algorithmName="SHA-512" hashValue="PUZE8vVjCWlsl/INo5rQCV+pPDuo1O8NKuvIBmalQFwNqAOQY5U/gmPrAYXJDF1NL+/GIizIUx9282rd/2Qtvg==" saltValue="/OXhi9J7UoZAKDgMUuLPLg==" spinCount="100000" sheet="1" formatColumns="0" selectLockedCells="1"/>
  <mergeCells count="6">
    <mergeCell ref="A1:L1"/>
    <mergeCell ref="F2:N2"/>
    <mergeCell ref="E4:F4"/>
    <mergeCell ref="G4:H4"/>
    <mergeCell ref="K3:P3"/>
    <mergeCell ref="I4:J4"/>
  </mergeCells>
  <phoneticPr fontId="30" type="noConversion"/>
  <conditionalFormatting sqref="A6:J25">
    <cfRule type="expression" dxfId="44" priority="5" stopIfTrue="1">
      <formula>$Q6&gt;0</formula>
    </cfRule>
  </conditionalFormatting>
  <printOptions horizontalCentered="1" verticalCentered="1"/>
  <pageMargins left="0" right="0" top="0.19685039370078741" bottom="0.15748031496062992" header="0.19685039370078741" footer="0.19685039370078741"/>
  <pageSetup paperSize="9" scale="75" orientation="landscape"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F7FA4-C6E1-495A-BA6C-92F914523D81}">
  <dimension ref="A1:AB46"/>
  <sheetViews>
    <sheetView showGridLines="0" zoomScaleNormal="100" workbookViewId="0">
      <selection activeCell="D7" sqref="D7:E7"/>
    </sheetView>
  </sheetViews>
  <sheetFormatPr defaultColWidth="9.28515625" defaultRowHeight="10.199999999999999" x14ac:dyDescent="0.2"/>
  <cols>
    <col min="1" max="1" width="48.28515625" style="3" customWidth="1"/>
    <col min="2" max="2" width="9.140625" style="2" customWidth="1"/>
    <col min="3" max="5" width="4.85546875" style="2" customWidth="1"/>
    <col min="6" max="22" width="4.85546875" style="3" customWidth="1"/>
    <col min="23" max="23" width="12" style="3" customWidth="1"/>
    <col min="24" max="46" width="3.85546875" style="3" customWidth="1"/>
    <col min="47" max="16384" width="9.28515625" style="3"/>
  </cols>
  <sheetData>
    <row r="1" spans="1:28" ht="43.5" customHeight="1" x14ac:dyDescent="0.2">
      <c r="A1" s="1463" t="str">
        <f>'t1'!A1</f>
        <v>ENTI PUBBLICI NON ECONOMICI - anno 2023</v>
      </c>
      <c r="B1" s="1463"/>
      <c r="C1" s="1463"/>
      <c r="D1" s="1463"/>
      <c r="E1" s="1463"/>
      <c r="F1" s="1463"/>
      <c r="G1" s="1463"/>
      <c r="H1" s="1463"/>
      <c r="I1" s="1463"/>
      <c r="J1" s="1463"/>
      <c r="K1" s="1463"/>
      <c r="L1" s="1463"/>
      <c r="M1" s="1463"/>
      <c r="N1" s="1463"/>
      <c r="O1" s="1463"/>
      <c r="P1" s="1463"/>
      <c r="Q1" s="1463"/>
      <c r="R1" s="1463"/>
      <c r="S1" s="1463"/>
      <c r="T1" s="1463"/>
      <c r="U1" s="1463"/>
      <c r="V1" s="1463"/>
      <c r="W1" s="610"/>
    </row>
    <row r="2" spans="1:28" ht="43.8" customHeight="1" x14ac:dyDescent="0.2">
      <c r="A2" s="1"/>
      <c r="W2" s="514"/>
    </row>
    <row r="3" spans="1:28" ht="15" customHeight="1" thickBot="1" x14ac:dyDescent="0.25">
      <c r="A3" s="1"/>
      <c r="W3" s="514"/>
    </row>
    <row r="4" spans="1:28" ht="18" customHeight="1" thickBot="1" x14ac:dyDescent="0.25">
      <c r="A4" s="1349" t="s">
        <v>1100</v>
      </c>
      <c r="B4" s="1348"/>
      <c r="C4" s="1348"/>
      <c r="D4" s="1348"/>
      <c r="E4" s="1348"/>
      <c r="F4" s="1347"/>
      <c r="G4" s="1347"/>
      <c r="H4" s="1347"/>
      <c r="I4" s="1347"/>
      <c r="J4" s="1347"/>
      <c r="K4" s="1347"/>
      <c r="L4" s="1347"/>
      <c r="M4" s="1347"/>
      <c r="N4" s="1347"/>
      <c r="O4" s="1347"/>
      <c r="P4" s="1347"/>
      <c r="Q4" s="1347"/>
      <c r="R4" s="1347"/>
      <c r="S4" s="1347"/>
      <c r="T4" s="1347"/>
      <c r="U4" s="1347"/>
      <c r="V4" s="1347"/>
      <c r="W4" s="1346"/>
      <c r="Z4" s="514"/>
      <c r="AA4" s="514"/>
      <c r="AB4" s="514"/>
    </row>
    <row r="5" spans="1:28" ht="12" customHeight="1" x14ac:dyDescent="0.2">
      <c r="A5" s="608"/>
      <c r="B5" s="3"/>
      <c r="C5" s="3"/>
      <c r="D5" s="3"/>
      <c r="E5" s="3"/>
      <c r="W5" s="1345"/>
      <c r="Z5" s="514"/>
      <c r="AA5" s="514"/>
      <c r="AB5" s="514"/>
    </row>
    <row r="6" spans="1:28" ht="12" hidden="1" customHeight="1" x14ac:dyDescent="0.2">
      <c r="A6" s="1360" t="str">
        <f>'t2'!A8</f>
        <v>PERSONALE ELEVATE PROFESSIONALITA</v>
      </c>
      <c r="B6" s="1361" t="str">
        <f>'t2'!B8</f>
        <v>EP</v>
      </c>
      <c r="C6" s="2" t="s">
        <v>1124</v>
      </c>
      <c r="D6" s="1512"/>
      <c r="E6" s="1512"/>
      <c r="W6" s="1345"/>
      <c r="Z6" s="514"/>
      <c r="AA6" s="514"/>
      <c r="AB6" s="514"/>
    </row>
    <row r="7" spans="1:28" ht="12" customHeight="1" x14ac:dyDescent="0.2">
      <c r="A7" s="1360" t="str">
        <f>'t2'!A9</f>
        <v>FUNZIONARI</v>
      </c>
      <c r="B7" s="1361" t="str">
        <f>'t2'!B9</f>
        <v>FU</v>
      </c>
      <c r="C7" s="2" t="s">
        <v>1124</v>
      </c>
      <c r="D7" s="1511"/>
      <c r="E7" s="1511"/>
      <c r="W7" s="1345"/>
      <c r="Z7" s="514"/>
      <c r="AA7" s="514"/>
      <c r="AB7" s="514"/>
    </row>
    <row r="8" spans="1:28" ht="12" customHeight="1" x14ac:dyDescent="0.2">
      <c r="A8" s="1360" t="str">
        <f>'t2'!A10</f>
        <v>ASSISTENTI</v>
      </c>
      <c r="B8" s="1361" t="str">
        <f>'t2'!B10</f>
        <v>AT</v>
      </c>
      <c r="C8" s="2" t="s">
        <v>1124</v>
      </c>
      <c r="D8" s="1511"/>
      <c r="E8" s="1511"/>
      <c r="W8" s="1345"/>
      <c r="Z8" s="514"/>
      <c r="AA8" s="514"/>
      <c r="AB8" s="514"/>
    </row>
    <row r="9" spans="1:28" ht="12" customHeight="1" x14ac:dyDescent="0.2">
      <c r="A9" s="1360" t="str">
        <f>'t2'!A11</f>
        <v>OPERATORI</v>
      </c>
      <c r="B9" s="1361" t="str">
        <f>'t2'!B11</f>
        <v>OP</v>
      </c>
      <c r="C9" s="2" t="s">
        <v>1124</v>
      </c>
      <c r="D9" s="1511"/>
      <c r="E9" s="1511"/>
      <c r="W9" s="1345"/>
      <c r="Z9" s="514"/>
      <c r="AA9" s="514"/>
      <c r="AB9" s="514"/>
    </row>
    <row r="10" spans="1:28" ht="12" customHeight="1" thickBot="1" x14ac:dyDescent="0.25">
      <c r="A10" s="1344"/>
      <c r="B10" s="1343"/>
      <c r="C10" s="1343"/>
      <c r="D10" s="1343"/>
      <c r="E10" s="1343"/>
      <c r="F10" s="758"/>
      <c r="G10" s="758"/>
      <c r="H10" s="758"/>
      <c r="I10" s="758"/>
      <c r="J10" s="758"/>
      <c r="K10" s="758"/>
      <c r="L10" s="758"/>
      <c r="M10" s="758"/>
      <c r="N10" s="758"/>
      <c r="O10" s="758"/>
      <c r="P10" s="758"/>
      <c r="Q10" s="758"/>
      <c r="R10" s="758"/>
      <c r="S10" s="758"/>
      <c r="T10" s="758"/>
      <c r="U10" s="758"/>
      <c r="V10" s="758"/>
      <c r="W10" s="1342"/>
      <c r="Z10" s="514"/>
      <c r="AA10" s="514"/>
      <c r="AB10" s="514"/>
    </row>
    <row r="11" spans="1:28" ht="15" customHeight="1" thickBot="1" x14ac:dyDescent="0.25">
      <c r="A11" s="1"/>
      <c r="W11" s="514"/>
    </row>
    <row r="12" spans="1:28" ht="13.8" thickBot="1" x14ac:dyDescent="0.25">
      <c r="A12" s="284"/>
      <c r="B12" s="8"/>
      <c r="C12" s="1510" t="s">
        <v>56</v>
      </c>
      <c r="D12" s="1510"/>
      <c r="E12" s="1510"/>
      <c r="F12" s="1510"/>
      <c r="G12" s="1510"/>
      <c r="H12" s="1510"/>
      <c r="I12" s="1510"/>
      <c r="J12" s="1510"/>
      <c r="K12" s="1510"/>
      <c r="L12" s="1510"/>
      <c r="M12" s="1510"/>
      <c r="N12" s="1510"/>
      <c r="O12" s="1510"/>
      <c r="P12" s="1510"/>
      <c r="Q12" s="1510"/>
      <c r="R12" s="1510"/>
      <c r="S12" s="1510"/>
      <c r="T12" s="1510"/>
      <c r="U12" s="1510"/>
      <c r="V12" s="1510"/>
      <c r="W12" s="200"/>
    </row>
    <row r="13" spans="1:28" s="1261" customFormat="1" ht="16.5" customHeight="1" thickTop="1" x14ac:dyDescent="0.25">
      <c r="A13" s="1341"/>
      <c r="B13" s="1340"/>
      <c r="C13" s="1508" t="s">
        <v>164</v>
      </c>
      <c r="D13" s="1509"/>
      <c r="E13" s="1509"/>
      <c r="F13" s="1509"/>
      <c r="G13" s="1509"/>
      <c r="H13" s="1509"/>
      <c r="I13" s="1509"/>
      <c r="J13" s="1509"/>
      <c r="K13" s="1509"/>
      <c r="L13" s="1509"/>
      <c r="M13" s="1509"/>
      <c r="N13" s="1509"/>
      <c r="O13" s="1509"/>
      <c r="P13" s="1509"/>
      <c r="Q13" s="1509"/>
      <c r="R13" s="1509"/>
      <c r="S13" s="1509"/>
      <c r="T13" s="1509"/>
      <c r="U13" s="1509"/>
      <c r="V13" s="1509"/>
      <c r="W13" s="1339"/>
    </row>
    <row r="14" spans="1:28" ht="63.75" customHeight="1" thickBot="1" x14ac:dyDescent="0.25">
      <c r="A14" s="1338" t="s">
        <v>238</v>
      </c>
      <c r="B14" s="1337" t="s">
        <v>239</v>
      </c>
      <c r="C14" s="221" t="str">
        <f>B15</f>
        <v>0D0097</v>
      </c>
      <c r="D14" s="222" t="str">
        <f>B16</f>
        <v>0D0077</v>
      </c>
      <c r="E14" s="222" t="str">
        <f>B17</f>
        <v>0D0078</v>
      </c>
      <c r="F14" s="222" t="str">
        <f>B18</f>
        <v>0D0079</v>
      </c>
      <c r="G14" s="222" t="str">
        <f>B19</f>
        <v>0D0080</v>
      </c>
      <c r="H14" s="222" t="str">
        <f>B20</f>
        <v>0D0584</v>
      </c>
      <c r="I14" s="222" t="str">
        <f>B21</f>
        <v>0D0585</v>
      </c>
      <c r="J14" s="222" t="str">
        <f>B22</f>
        <v>0D0586</v>
      </c>
      <c r="K14" s="222" t="str">
        <f>B23</f>
        <v>0D0496</v>
      </c>
      <c r="L14" s="222" t="str">
        <f>B24</f>
        <v>0D0473</v>
      </c>
      <c r="M14" s="222" t="str">
        <f>B25</f>
        <v>0D0472</v>
      </c>
      <c r="N14" s="222" t="str">
        <f>B26</f>
        <v>0D0084</v>
      </c>
      <c r="O14" s="222" t="str">
        <f>B27</f>
        <v>0D0481</v>
      </c>
      <c r="P14" s="222" t="str">
        <f>B28</f>
        <v>0D0480</v>
      </c>
      <c r="Q14" s="222" t="str">
        <f>B29</f>
        <v>0D0075</v>
      </c>
      <c r="R14" s="222" t="str">
        <f>B30</f>
        <v>0EP981</v>
      </c>
      <c r="S14" s="222" t="str">
        <f>B31</f>
        <v>0FZ000</v>
      </c>
      <c r="T14" s="222" t="str">
        <f>B32</f>
        <v>0AS000</v>
      </c>
      <c r="U14" s="222" t="str">
        <f>B33</f>
        <v>0OP000</v>
      </c>
      <c r="V14" s="223" t="str">
        <f>B34</f>
        <v>000061</v>
      </c>
      <c r="W14" s="1336" t="s">
        <v>123</v>
      </c>
    </row>
    <row r="15" spans="1:28" ht="12" customHeight="1" thickTop="1" x14ac:dyDescent="0.2">
      <c r="A15" s="16" t="str">
        <f>'t1'!A6</f>
        <v>DIRETTORE GENERALE</v>
      </c>
      <c r="B15" s="134" t="str">
        <f>'t1'!B6</f>
        <v>0D0097</v>
      </c>
      <c r="C15" s="1335"/>
      <c r="D15" s="224"/>
      <c r="E15" s="224"/>
      <c r="F15" s="224"/>
      <c r="G15" s="224"/>
      <c r="H15" s="225"/>
      <c r="I15" s="225"/>
      <c r="J15" s="225"/>
      <c r="K15" s="225"/>
      <c r="L15" s="225"/>
      <c r="M15" s="225"/>
      <c r="N15" s="225"/>
      <c r="O15" s="225"/>
      <c r="P15" s="225"/>
      <c r="Q15" s="225"/>
      <c r="R15" s="225"/>
      <c r="S15" s="225"/>
      <c r="T15" s="225"/>
      <c r="U15" s="225"/>
      <c r="V15" s="225"/>
      <c r="W15" s="388">
        <f>SUM(C15:V15)</f>
        <v>0</v>
      </c>
    </row>
    <row r="16" spans="1:28" ht="12" customHeight="1" x14ac:dyDescent="0.2">
      <c r="A16" s="16" t="str">
        <f>'t1'!A7</f>
        <v>DIRIGENTE I FASCIA</v>
      </c>
      <c r="B16" s="134" t="str">
        <f>'t1'!B7</f>
        <v>0D0077</v>
      </c>
      <c r="C16" s="224"/>
      <c r="D16" s="1335"/>
      <c r="E16" s="224"/>
      <c r="F16" s="224"/>
      <c r="G16" s="224"/>
      <c r="H16" s="225"/>
      <c r="I16" s="225"/>
      <c r="J16" s="225"/>
      <c r="K16" s="225"/>
      <c r="L16" s="225"/>
      <c r="M16" s="225"/>
      <c r="N16" s="225"/>
      <c r="O16" s="225"/>
      <c r="P16" s="225"/>
      <c r="Q16" s="225"/>
      <c r="R16" s="225"/>
      <c r="S16" s="225"/>
      <c r="T16" s="225"/>
      <c r="U16" s="225"/>
      <c r="V16" s="225"/>
      <c r="W16" s="388">
        <f t="shared" ref="W16:W34" si="0">SUM(C16:V16)</f>
        <v>0</v>
      </c>
    </row>
    <row r="17" spans="1:23" ht="12" customHeight="1" x14ac:dyDescent="0.2">
      <c r="A17" s="16" t="str">
        <f>'t1'!A8</f>
        <v>DIRIGENTE I FASCIA A TEMPO DETERM.</v>
      </c>
      <c r="B17" s="134" t="str">
        <f>'t1'!B8</f>
        <v>0D0078</v>
      </c>
      <c r="C17" s="224"/>
      <c r="D17" s="224"/>
      <c r="E17" s="1335"/>
      <c r="F17" s="224"/>
      <c r="G17" s="224"/>
      <c r="H17" s="225"/>
      <c r="I17" s="225"/>
      <c r="J17" s="225"/>
      <c r="K17" s="225"/>
      <c r="L17" s="225"/>
      <c r="M17" s="225"/>
      <c r="N17" s="225"/>
      <c r="O17" s="225"/>
      <c r="P17" s="225"/>
      <c r="Q17" s="225"/>
      <c r="R17" s="225"/>
      <c r="S17" s="225"/>
      <c r="T17" s="225"/>
      <c r="U17" s="225"/>
      <c r="V17" s="225"/>
      <c r="W17" s="388">
        <f t="shared" si="0"/>
        <v>0</v>
      </c>
    </row>
    <row r="18" spans="1:23" ht="12" customHeight="1" x14ac:dyDescent="0.2">
      <c r="A18" s="16" t="str">
        <f>'t1'!A9</f>
        <v>DIRIGENTE II FASCIA</v>
      </c>
      <c r="B18" s="134" t="str">
        <f>'t1'!B9</f>
        <v>0D0079</v>
      </c>
      <c r="C18" s="224"/>
      <c r="D18" s="224"/>
      <c r="E18" s="224"/>
      <c r="F18" s="1335"/>
      <c r="G18" s="224"/>
      <c r="H18" s="225"/>
      <c r="I18" s="225"/>
      <c r="J18" s="225"/>
      <c r="K18" s="225"/>
      <c r="L18" s="225"/>
      <c r="M18" s="225"/>
      <c r="N18" s="225"/>
      <c r="O18" s="225"/>
      <c r="P18" s="225"/>
      <c r="Q18" s="225"/>
      <c r="R18" s="225"/>
      <c r="S18" s="225"/>
      <c r="T18" s="225"/>
      <c r="U18" s="225"/>
      <c r="V18" s="225"/>
      <c r="W18" s="388">
        <f t="shared" si="0"/>
        <v>0</v>
      </c>
    </row>
    <row r="19" spans="1:23" ht="12" customHeight="1" x14ac:dyDescent="0.2">
      <c r="A19" s="16" t="str">
        <f>'t1'!A10</f>
        <v>DIRIGENTE II FASCIA A TEMPO DETERM.</v>
      </c>
      <c r="B19" s="134" t="str">
        <f>'t1'!B10</f>
        <v>0D0080</v>
      </c>
      <c r="C19" s="227"/>
      <c r="D19" s="228"/>
      <c r="E19" s="228"/>
      <c r="F19" s="224"/>
      <c r="G19" s="1335"/>
      <c r="H19" s="225"/>
      <c r="I19" s="225"/>
      <c r="J19" s="225"/>
      <c r="K19" s="225"/>
      <c r="L19" s="225"/>
      <c r="M19" s="225"/>
      <c r="N19" s="225"/>
      <c r="O19" s="225"/>
      <c r="P19" s="225"/>
      <c r="Q19" s="225"/>
      <c r="R19" s="225"/>
      <c r="S19" s="225"/>
      <c r="T19" s="225"/>
      <c r="U19" s="225"/>
      <c r="V19" s="225"/>
      <c r="W19" s="388">
        <f t="shared" si="0"/>
        <v>0</v>
      </c>
    </row>
    <row r="20" spans="1:23" ht="12" customHeight="1" x14ac:dyDescent="0.2">
      <c r="A20" s="16" t="str">
        <f>'t1'!A11</f>
        <v>MEDICO II FASCIA T.P.</v>
      </c>
      <c r="B20" s="134" t="str">
        <f>'t1'!B11</f>
        <v>0D0584</v>
      </c>
      <c r="C20" s="227"/>
      <c r="D20" s="228"/>
      <c r="E20" s="228"/>
      <c r="F20" s="224"/>
      <c r="G20" s="224"/>
      <c r="H20" s="1335"/>
      <c r="I20" s="225"/>
      <c r="J20" s="225"/>
      <c r="K20" s="225"/>
      <c r="L20" s="225"/>
      <c r="M20" s="225"/>
      <c r="N20" s="225"/>
      <c r="O20" s="225"/>
      <c r="P20" s="225"/>
      <c r="Q20" s="225"/>
      <c r="R20" s="225"/>
      <c r="S20" s="225"/>
      <c r="T20" s="225"/>
      <c r="U20" s="225"/>
      <c r="V20" s="225"/>
      <c r="W20" s="388">
        <f t="shared" si="0"/>
        <v>0</v>
      </c>
    </row>
    <row r="21" spans="1:23" ht="12" customHeight="1" x14ac:dyDescent="0.2">
      <c r="A21" s="16" t="str">
        <f>'t1'!A12</f>
        <v>MEDICO I FASCIA T.P.</v>
      </c>
      <c r="B21" s="134" t="str">
        <f>'t1'!B12</f>
        <v>0D0585</v>
      </c>
      <c r="C21" s="224"/>
      <c r="D21" s="224"/>
      <c r="E21" s="224"/>
      <c r="F21" s="224"/>
      <c r="G21" s="224"/>
      <c r="H21" s="225"/>
      <c r="I21" s="1335"/>
      <c r="J21" s="225"/>
      <c r="K21" s="225"/>
      <c r="L21" s="225"/>
      <c r="M21" s="225"/>
      <c r="N21" s="225"/>
      <c r="O21" s="225"/>
      <c r="P21" s="225"/>
      <c r="Q21" s="225"/>
      <c r="R21" s="225"/>
      <c r="S21" s="225"/>
      <c r="T21" s="225"/>
      <c r="U21" s="225"/>
      <c r="V21" s="225"/>
      <c r="W21" s="388">
        <f t="shared" si="0"/>
        <v>0</v>
      </c>
    </row>
    <row r="22" spans="1:23" ht="12" customHeight="1" x14ac:dyDescent="0.2">
      <c r="A22" s="16" t="str">
        <f>'t1'!A13</f>
        <v>MEDICO II FASCIA T.D.</v>
      </c>
      <c r="B22" s="134" t="str">
        <f>'t1'!B13</f>
        <v>0D0586</v>
      </c>
      <c r="C22" s="224"/>
      <c r="D22" s="224"/>
      <c r="E22" s="224"/>
      <c r="F22" s="224"/>
      <c r="G22" s="224"/>
      <c r="H22" s="225"/>
      <c r="I22" s="225"/>
      <c r="J22" s="1335"/>
      <c r="K22" s="225"/>
      <c r="L22" s="225"/>
      <c r="M22" s="225"/>
      <c r="N22" s="225"/>
      <c r="O22" s="225"/>
      <c r="P22" s="225"/>
      <c r="Q22" s="225"/>
      <c r="R22" s="225"/>
      <c r="S22" s="225"/>
      <c r="T22" s="225"/>
      <c r="U22" s="225"/>
      <c r="V22" s="225"/>
      <c r="W22" s="388">
        <f t="shared" si="0"/>
        <v>0</v>
      </c>
    </row>
    <row r="23" spans="1:23" ht="12" customHeight="1" x14ac:dyDescent="0.2">
      <c r="A23" s="16" t="str">
        <f>'t1'!A14</f>
        <v>MEDICO I FASCIA T.D.</v>
      </c>
      <c r="B23" s="134" t="str">
        <f>'t1'!B14</f>
        <v>0D0496</v>
      </c>
      <c r="C23" s="224"/>
      <c r="D23" s="224"/>
      <c r="E23" s="224"/>
      <c r="F23" s="224"/>
      <c r="G23" s="224"/>
      <c r="H23" s="225"/>
      <c r="I23" s="225"/>
      <c r="J23" s="225"/>
      <c r="K23" s="1335"/>
      <c r="L23" s="225"/>
      <c r="M23" s="225"/>
      <c r="N23" s="225"/>
      <c r="O23" s="225"/>
      <c r="P23" s="225"/>
      <c r="Q23" s="225"/>
      <c r="R23" s="225"/>
      <c r="S23" s="225"/>
      <c r="T23" s="225"/>
      <c r="U23" s="225"/>
      <c r="V23" s="225"/>
      <c r="W23" s="388">
        <f t="shared" si="0"/>
        <v>0</v>
      </c>
    </row>
    <row r="24" spans="1:23" ht="12" customHeight="1" x14ac:dyDescent="0.2">
      <c r="A24" s="16" t="str">
        <f>'t1'!A15</f>
        <v>PROF.STI LEGALI LIV. II DIFF.</v>
      </c>
      <c r="B24" s="134" t="str">
        <f>'t1'!B15</f>
        <v>0D0473</v>
      </c>
      <c r="C24" s="224"/>
      <c r="D24" s="224"/>
      <c r="E24" s="224"/>
      <c r="F24" s="224"/>
      <c r="G24" s="224"/>
      <c r="H24" s="225"/>
      <c r="I24" s="225"/>
      <c r="J24" s="225"/>
      <c r="K24" s="225"/>
      <c r="L24" s="1335"/>
      <c r="M24" s="225"/>
      <c r="N24" s="225"/>
      <c r="O24" s="225"/>
      <c r="P24" s="225"/>
      <c r="Q24" s="225"/>
      <c r="R24" s="225"/>
      <c r="S24" s="225"/>
      <c r="T24" s="225"/>
      <c r="U24" s="225"/>
      <c r="V24" s="225"/>
      <c r="W24" s="388">
        <f t="shared" si="0"/>
        <v>0</v>
      </c>
    </row>
    <row r="25" spans="1:23" ht="12" customHeight="1" x14ac:dyDescent="0.2">
      <c r="A25" s="16" t="str">
        <f>'t1'!A16</f>
        <v>PROF.STI LEGALI LIV. I DIFF.</v>
      </c>
      <c r="B25" s="134" t="str">
        <f>'t1'!B16</f>
        <v>0D0472</v>
      </c>
      <c r="C25" s="229"/>
      <c r="D25" s="229"/>
      <c r="E25" s="229"/>
      <c r="F25" s="229"/>
      <c r="G25" s="229"/>
      <c r="H25" s="228"/>
      <c r="I25" s="228"/>
      <c r="J25" s="228"/>
      <c r="K25" s="228"/>
      <c r="L25" s="225"/>
      <c r="M25" s="1335"/>
      <c r="N25" s="225"/>
      <c r="O25" s="225"/>
      <c r="P25" s="225"/>
      <c r="Q25" s="225"/>
      <c r="R25" s="225"/>
      <c r="S25" s="225"/>
      <c r="T25" s="225"/>
      <c r="U25" s="225"/>
      <c r="V25" s="228"/>
      <c r="W25" s="388">
        <f t="shared" si="0"/>
        <v>0</v>
      </c>
    </row>
    <row r="26" spans="1:23" ht="12" customHeight="1" x14ac:dyDescent="0.2">
      <c r="A26" s="16" t="str">
        <f>'t1'!A17</f>
        <v>PROF.STI LEGALI</v>
      </c>
      <c r="B26" s="134" t="str">
        <f>'t1'!B17</f>
        <v>0D0084</v>
      </c>
      <c r="C26" s="231"/>
      <c r="D26" s="231"/>
      <c r="E26" s="231"/>
      <c r="F26" s="231"/>
      <c r="G26" s="231"/>
      <c r="H26" s="232"/>
      <c r="I26" s="232"/>
      <c r="J26" s="232"/>
      <c r="K26" s="232"/>
      <c r="L26" s="225"/>
      <c r="M26" s="225"/>
      <c r="N26" s="1335"/>
      <c r="O26" s="225"/>
      <c r="P26" s="225"/>
      <c r="Q26" s="225"/>
      <c r="R26" s="225"/>
      <c r="S26" s="225"/>
      <c r="T26" s="225"/>
      <c r="U26" s="225"/>
      <c r="V26" s="228"/>
      <c r="W26" s="388">
        <f t="shared" si="0"/>
        <v>0</v>
      </c>
    </row>
    <row r="27" spans="1:23" ht="12" customHeight="1" x14ac:dyDescent="0.2">
      <c r="A27" s="16" t="str">
        <f>'t1'!A18</f>
        <v>ALTRI PROF.STI LIV. II DIFF.</v>
      </c>
      <c r="B27" s="134" t="str">
        <f>'t1'!B18</f>
        <v>0D0481</v>
      </c>
      <c r="C27" s="231"/>
      <c r="D27" s="231"/>
      <c r="E27" s="231"/>
      <c r="F27" s="231"/>
      <c r="G27" s="231"/>
      <c r="H27" s="232"/>
      <c r="I27" s="232"/>
      <c r="J27" s="232"/>
      <c r="K27" s="232"/>
      <c r="L27" s="225"/>
      <c r="M27" s="225"/>
      <c r="N27" s="225"/>
      <c r="O27" s="1335"/>
      <c r="P27" s="225"/>
      <c r="Q27" s="225"/>
      <c r="R27" s="225"/>
      <c r="S27" s="225"/>
      <c r="T27" s="225"/>
      <c r="U27" s="225"/>
      <c r="V27" s="228"/>
      <c r="W27" s="388">
        <f t="shared" si="0"/>
        <v>0</v>
      </c>
    </row>
    <row r="28" spans="1:23" ht="12" customHeight="1" x14ac:dyDescent="0.2">
      <c r="A28" s="16" t="str">
        <f>'t1'!A19</f>
        <v>ALTRI PROF.STI LIV. I DIFF.</v>
      </c>
      <c r="B28" s="134" t="str">
        <f>'t1'!B19</f>
        <v>0D0480</v>
      </c>
      <c r="C28" s="231"/>
      <c r="D28" s="231"/>
      <c r="E28" s="231"/>
      <c r="F28" s="231"/>
      <c r="G28" s="231"/>
      <c r="H28" s="232"/>
      <c r="I28" s="232"/>
      <c r="J28" s="232"/>
      <c r="K28" s="232"/>
      <c r="L28" s="225"/>
      <c r="M28" s="225"/>
      <c r="N28" s="225"/>
      <c r="O28" s="225"/>
      <c r="P28" s="1335"/>
      <c r="Q28" s="225"/>
      <c r="R28" s="225"/>
      <c r="S28" s="225"/>
      <c r="T28" s="225"/>
      <c r="U28" s="225"/>
      <c r="V28" s="228"/>
      <c r="W28" s="388">
        <f t="shared" si="0"/>
        <v>0</v>
      </c>
    </row>
    <row r="29" spans="1:23" ht="12" customHeight="1" x14ac:dyDescent="0.2">
      <c r="A29" s="16" t="str">
        <f>'t1'!A20</f>
        <v>ALTRI PROF.STI</v>
      </c>
      <c r="B29" s="134" t="str">
        <f>'t1'!B20</f>
        <v>0D0075</v>
      </c>
      <c r="C29" s="231"/>
      <c r="D29" s="231"/>
      <c r="E29" s="231"/>
      <c r="F29" s="231"/>
      <c r="G29" s="231"/>
      <c r="H29" s="232"/>
      <c r="I29" s="232"/>
      <c r="J29" s="232"/>
      <c r="K29" s="232"/>
      <c r="L29" s="225"/>
      <c r="M29" s="225"/>
      <c r="N29" s="225"/>
      <c r="O29" s="225"/>
      <c r="P29" s="225"/>
      <c r="Q29" s="1335"/>
      <c r="R29" s="225"/>
      <c r="S29" s="225"/>
      <c r="T29" s="225"/>
      <c r="U29" s="225"/>
      <c r="V29" s="228"/>
      <c r="W29" s="388">
        <f t="shared" si="0"/>
        <v>0</v>
      </c>
    </row>
    <row r="30" spans="1:23" ht="12" customHeight="1" x14ac:dyDescent="0.2">
      <c r="A30" s="16" t="str">
        <f>'t1'!A21</f>
        <v>ELEVATE PROFESSIONALITA'</v>
      </c>
      <c r="B30" s="134" t="str">
        <f>'t1'!B21</f>
        <v>0EP981</v>
      </c>
      <c r="C30" s="231"/>
      <c r="D30" s="231"/>
      <c r="E30" s="231"/>
      <c r="F30" s="231"/>
      <c r="G30" s="231"/>
      <c r="H30" s="232"/>
      <c r="I30" s="232"/>
      <c r="J30" s="232"/>
      <c r="K30" s="232"/>
      <c r="L30" s="225"/>
      <c r="M30" s="225"/>
      <c r="N30" s="225"/>
      <c r="O30" s="225"/>
      <c r="P30" s="225"/>
      <c r="Q30" s="225"/>
      <c r="R30" s="1335"/>
      <c r="S30" s="225"/>
      <c r="T30" s="225"/>
      <c r="U30" s="225"/>
      <c r="V30" s="228"/>
      <c r="W30" s="388">
        <f t="shared" si="0"/>
        <v>0</v>
      </c>
    </row>
    <row r="31" spans="1:23" ht="12" customHeight="1" x14ac:dyDescent="0.2">
      <c r="A31" s="16" t="str">
        <f>'t1'!A22</f>
        <v>FUNZIONARI</v>
      </c>
      <c r="B31" s="134" t="str">
        <f>'t1'!B22</f>
        <v>0FZ000</v>
      </c>
      <c r="C31" s="231"/>
      <c r="D31" s="231"/>
      <c r="E31" s="231"/>
      <c r="F31" s="231"/>
      <c r="G31" s="231"/>
      <c r="H31" s="232"/>
      <c r="I31" s="232"/>
      <c r="J31" s="232"/>
      <c r="K31" s="232"/>
      <c r="L31" s="225"/>
      <c r="M31" s="225"/>
      <c r="N31" s="225"/>
      <c r="O31" s="225"/>
      <c r="P31" s="225"/>
      <c r="Q31" s="225"/>
      <c r="R31" s="225"/>
      <c r="S31" s="1335"/>
      <c r="T31" s="225"/>
      <c r="U31" s="225"/>
      <c r="V31" s="228"/>
      <c r="W31" s="388">
        <f t="shared" si="0"/>
        <v>0</v>
      </c>
    </row>
    <row r="32" spans="1:23" ht="12" customHeight="1" x14ac:dyDescent="0.2">
      <c r="A32" s="16" t="str">
        <f>'t1'!A23</f>
        <v>ASSISTENTI</v>
      </c>
      <c r="B32" s="134" t="str">
        <f>'t1'!B23</f>
        <v>0AS000</v>
      </c>
      <c r="C32" s="231"/>
      <c r="D32" s="231"/>
      <c r="E32" s="231"/>
      <c r="F32" s="231"/>
      <c r="G32" s="231"/>
      <c r="H32" s="232"/>
      <c r="I32" s="232"/>
      <c r="J32" s="232"/>
      <c r="K32" s="232"/>
      <c r="L32" s="225"/>
      <c r="M32" s="225"/>
      <c r="N32" s="225"/>
      <c r="O32" s="225"/>
      <c r="P32" s="225"/>
      <c r="Q32" s="225"/>
      <c r="R32" s="225"/>
      <c r="S32" s="225"/>
      <c r="T32" s="1335"/>
      <c r="U32" s="225"/>
      <c r="V32" s="228"/>
      <c r="W32" s="388">
        <f t="shared" si="0"/>
        <v>0</v>
      </c>
    </row>
    <row r="33" spans="1:25" ht="12" customHeight="1" x14ac:dyDescent="0.2">
      <c r="A33" s="16" t="str">
        <f>'t1'!A24</f>
        <v>OPERATORI</v>
      </c>
      <c r="B33" s="134" t="str">
        <f>'t1'!B24</f>
        <v>0OP000</v>
      </c>
      <c r="C33" s="231"/>
      <c r="D33" s="231"/>
      <c r="E33" s="231"/>
      <c r="F33" s="231"/>
      <c r="G33" s="231"/>
      <c r="H33" s="232"/>
      <c r="I33" s="232"/>
      <c r="J33" s="232"/>
      <c r="K33" s="232"/>
      <c r="L33" s="225"/>
      <c r="M33" s="225"/>
      <c r="N33" s="225"/>
      <c r="O33" s="225"/>
      <c r="P33" s="225"/>
      <c r="Q33" s="225"/>
      <c r="R33" s="225"/>
      <c r="S33" s="225"/>
      <c r="T33" s="225"/>
      <c r="U33" s="1335"/>
      <c r="V33" s="228"/>
      <c r="W33" s="388">
        <f t="shared" si="0"/>
        <v>0</v>
      </c>
    </row>
    <row r="34" spans="1:25" ht="12" customHeight="1" thickBot="1" x14ac:dyDescent="0.25">
      <c r="A34" s="16" t="str">
        <f>'t1'!A25</f>
        <v>CONTRATTISTI</v>
      </c>
      <c r="B34" s="134" t="str">
        <f>'t1'!B25</f>
        <v>000061</v>
      </c>
      <c r="C34" s="231"/>
      <c r="D34" s="232"/>
      <c r="E34" s="232"/>
      <c r="F34" s="232"/>
      <c r="G34" s="232"/>
      <c r="H34" s="232"/>
      <c r="I34" s="232"/>
      <c r="J34" s="232"/>
      <c r="K34" s="232"/>
      <c r="L34" s="232"/>
      <c r="M34" s="232"/>
      <c r="N34" s="232"/>
      <c r="O34" s="232"/>
      <c r="P34" s="232"/>
      <c r="Q34" s="232"/>
      <c r="R34" s="232"/>
      <c r="S34" s="232"/>
      <c r="T34" s="232"/>
      <c r="U34" s="232"/>
      <c r="V34" s="1335"/>
      <c r="W34" s="388">
        <f t="shared" si="0"/>
        <v>0</v>
      </c>
    </row>
    <row r="35" spans="1:25" s="93" customFormat="1" ht="17.25" customHeight="1" thickTop="1" thickBot="1" x14ac:dyDescent="0.25">
      <c r="A35" s="1334" t="s">
        <v>161</v>
      </c>
      <c r="B35" s="199"/>
      <c r="C35" s="390">
        <f t="shared" ref="C35:K35" si="1">SUM(C15:C34)</f>
        <v>0</v>
      </c>
      <c r="D35" s="391">
        <f t="shared" si="1"/>
        <v>0</v>
      </c>
      <c r="E35" s="391">
        <f t="shared" si="1"/>
        <v>0</v>
      </c>
      <c r="F35" s="391">
        <f t="shared" si="1"/>
        <v>0</v>
      </c>
      <c r="G35" s="391">
        <f t="shared" si="1"/>
        <v>0</v>
      </c>
      <c r="H35" s="391">
        <f t="shared" si="1"/>
        <v>0</v>
      </c>
      <c r="I35" s="391">
        <f t="shared" si="1"/>
        <v>0</v>
      </c>
      <c r="J35" s="391">
        <f t="shared" si="1"/>
        <v>0</v>
      </c>
      <c r="K35" s="391">
        <f t="shared" si="1"/>
        <v>0</v>
      </c>
      <c r="L35" s="391">
        <f t="shared" ref="L35:W35" si="2">SUM(L15:L34)</f>
        <v>0</v>
      </c>
      <c r="M35" s="391">
        <f t="shared" si="2"/>
        <v>0</v>
      </c>
      <c r="N35" s="391">
        <f t="shared" si="2"/>
        <v>0</v>
      </c>
      <c r="O35" s="391">
        <f t="shared" si="2"/>
        <v>0</v>
      </c>
      <c r="P35" s="391">
        <f t="shared" si="2"/>
        <v>0</v>
      </c>
      <c r="Q35" s="391">
        <f t="shared" si="2"/>
        <v>0</v>
      </c>
      <c r="R35" s="391">
        <f t="shared" si="2"/>
        <v>0</v>
      </c>
      <c r="S35" s="391">
        <f t="shared" si="2"/>
        <v>0</v>
      </c>
      <c r="T35" s="391">
        <f t="shared" si="2"/>
        <v>0</v>
      </c>
      <c r="U35" s="391">
        <f t="shared" si="2"/>
        <v>0</v>
      </c>
      <c r="V35" s="391">
        <f t="shared" si="2"/>
        <v>0</v>
      </c>
      <c r="W35" s="389">
        <f t="shared" si="2"/>
        <v>0</v>
      </c>
    </row>
    <row r="36" spans="1:25" ht="17.25" customHeight="1" x14ac:dyDescent="0.2">
      <c r="A36" s="3" t="str">
        <f>'t1'!A27</f>
        <v>(a) personale a tempo indeterminato al quale viene applicato un contratto di lavoro di tipo privatistico (es.:tipografico,chimico,edile,metalmeccanico,portierato, ecc.)</v>
      </c>
    </row>
    <row r="46" spans="1:25" x14ac:dyDescent="0.2">
      <c r="Y46" s="142"/>
    </row>
  </sheetData>
  <sheetProtection algorithmName="SHA-512" hashValue="2XhzJ6uAydPpRdM0avXe51NsdVg/YTh6HhHfK7MIYEOfthjSWqwt44QAktDmO9rRtFJIhba5PPe0No2QvnZtyg==" saltValue="qUQjiYo002EXd/CMbuYnWg==" spinCount="100000" sheet="1" formatColumns="0" selectLockedCells="1"/>
  <mergeCells count="7">
    <mergeCell ref="C13:V13"/>
    <mergeCell ref="C12:V12"/>
    <mergeCell ref="A1:V1"/>
    <mergeCell ref="D7:E7"/>
    <mergeCell ref="D8:E8"/>
    <mergeCell ref="D9:E9"/>
    <mergeCell ref="D6:E6"/>
  </mergeCells>
  <printOptions horizontalCentered="1" verticalCentered="1"/>
  <pageMargins left="0" right="0" top="0.19685039370078741" bottom="0.15748031496062992" header="0.19685039370078741" footer="0.19685039370078741"/>
  <pageSetup paperSize="9" scale="75" orientation="landscape" horizontalDpi="300" verticalDpi="4294967292"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glio12"/>
  <dimension ref="A1:AA30"/>
  <sheetViews>
    <sheetView showGridLines="0" workbookViewId="0">
      <pane xSplit="2" ySplit="6" topLeftCell="C7" activePane="bottomRight" state="frozen"/>
      <selection activeCell="C4" sqref="C4:C6"/>
      <selection pane="topRight" activeCell="C4" sqref="C4:C6"/>
      <selection pane="bottomLeft" activeCell="C4" sqref="C4:C6"/>
      <selection pane="bottomRight" activeCell="C7" sqref="C7"/>
    </sheetView>
  </sheetViews>
  <sheetFormatPr defaultColWidth="10.7109375" defaultRowHeight="10.199999999999999" x14ac:dyDescent="0.2"/>
  <cols>
    <col min="1" max="1" width="39.7109375" style="80" customWidth="1"/>
    <col min="2" max="2" width="10.7109375" style="89" customWidth="1"/>
    <col min="3" max="14" width="11.140625" style="80" customWidth="1"/>
    <col min="15" max="20" width="9.28515625" style="80" customWidth="1"/>
    <col min="21" max="22" width="11.140625" style="80" customWidth="1"/>
    <col min="23" max="23" width="6.7109375" style="80" customWidth="1"/>
    <col min="24" max="27" width="10.7109375" style="80" customWidth="1"/>
    <col min="28" max="16384" width="10.7109375" style="80"/>
  </cols>
  <sheetData>
    <row r="1" spans="1:27" s="3" customFormat="1" ht="43.5" customHeight="1" x14ac:dyDescent="0.2">
      <c r="A1" s="1463" t="str">
        <f>'t1'!A1</f>
        <v>ENTI PUBBLICI NON ECONOMICI - anno 2023</v>
      </c>
      <c r="B1" s="1463"/>
      <c r="C1" s="1463"/>
      <c r="D1" s="1463"/>
      <c r="E1" s="1463"/>
      <c r="F1" s="1463"/>
      <c r="G1" s="1463"/>
      <c r="H1" s="1463"/>
      <c r="I1" s="1463"/>
      <c r="J1" s="1463"/>
      <c r="K1" s="1463"/>
      <c r="L1" s="1463"/>
      <c r="M1" s="1463"/>
      <c r="N1" s="1463"/>
      <c r="O1" s="1463"/>
      <c r="P1" s="1463"/>
      <c r="Q1" s="1463"/>
      <c r="R1" s="1463"/>
      <c r="S1" s="1463"/>
      <c r="T1" s="1463"/>
      <c r="U1"/>
      <c r="V1" s="286"/>
    </row>
    <row r="2" spans="1:27" s="3" customFormat="1" ht="30" customHeight="1" thickBot="1" x14ac:dyDescent="0.25">
      <c r="A2" s="285"/>
      <c r="B2" s="2"/>
      <c r="I2" s="4"/>
      <c r="O2" s="1499"/>
      <c r="P2" s="1499"/>
      <c r="Q2" s="1499"/>
      <c r="R2" s="1499"/>
      <c r="S2" s="1499"/>
      <c r="T2" s="1499"/>
      <c r="U2" s="1499"/>
      <c r="V2" s="1499"/>
    </row>
    <row r="3" spans="1:27" ht="15" customHeight="1" thickBot="1" x14ac:dyDescent="0.25">
      <c r="A3" s="81"/>
      <c r="B3" s="82"/>
      <c r="C3" s="283" t="s">
        <v>234</v>
      </c>
      <c r="D3" s="83"/>
      <c r="E3" s="83"/>
      <c r="F3" s="83"/>
      <c r="G3" s="83"/>
      <c r="H3" s="83"/>
      <c r="I3" s="83"/>
      <c r="J3" s="83"/>
      <c r="K3" s="83"/>
      <c r="L3" s="83"/>
      <c r="M3" s="83"/>
      <c r="N3" s="83"/>
      <c r="O3" s="83"/>
      <c r="P3" s="83"/>
      <c r="Q3" s="83"/>
      <c r="R3" s="83"/>
      <c r="S3" s="863"/>
      <c r="T3" s="863"/>
      <c r="U3" s="83"/>
      <c r="V3" s="84"/>
      <c r="X3"/>
      <c r="Y3"/>
      <c r="Z3"/>
      <c r="AA3"/>
    </row>
    <row r="4" spans="1:27" ht="30" customHeight="1" thickTop="1" x14ac:dyDescent="0.2">
      <c r="A4" s="259" t="s">
        <v>124</v>
      </c>
      <c r="B4" s="85" t="s">
        <v>57</v>
      </c>
      <c r="C4" s="1515" t="s">
        <v>328</v>
      </c>
      <c r="D4" s="1516"/>
      <c r="E4" s="1515" t="s">
        <v>913</v>
      </c>
      <c r="F4" s="1516"/>
      <c r="G4" s="1515" t="s">
        <v>329</v>
      </c>
      <c r="H4" s="1516"/>
      <c r="I4" s="1515" t="s">
        <v>50</v>
      </c>
      <c r="J4" s="1516"/>
      <c r="K4" s="1515" t="s">
        <v>51</v>
      </c>
      <c r="L4" s="1516"/>
      <c r="M4" s="1515" t="s">
        <v>613</v>
      </c>
      <c r="N4" s="1516"/>
      <c r="O4" s="1515" t="s">
        <v>838</v>
      </c>
      <c r="P4" s="1516"/>
      <c r="Q4" s="1515" t="s">
        <v>1081</v>
      </c>
      <c r="R4" s="1516"/>
      <c r="S4" s="1515" t="s">
        <v>85</v>
      </c>
      <c r="T4" s="1516"/>
      <c r="U4" s="1515" t="s">
        <v>60</v>
      </c>
      <c r="V4" s="1518"/>
      <c r="X4"/>
      <c r="Y4"/>
      <c r="Z4"/>
      <c r="AA4"/>
    </row>
    <row r="5" spans="1:27" x14ac:dyDescent="0.2">
      <c r="A5" s="539"/>
      <c r="B5" s="85"/>
      <c r="C5" s="1513" t="s">
        <v>332</v>
      </c>
      <c r="D5" s="1514"/>
      <c r="E5" s="1513" t="s">
        <v>333</v>
      </c>
      <c r="F5" s="1514"/>
      <c r="G5" s="1513" t="s">
        <v>334</v>
      </c>
      <c r="H5" s="1514"/>
      <c r="I5" s="1513" t="s">
        <v>335</v>
      </c>
      <c r="J5" s="1514"/>
      <c r="K5" s="1513" t="s">
        <v>336</v>
      </c>
      <c r="L5" s="1514"/>
      <c r="M5" s="1513" t="s">
        <v>569</v>
      </c>
      <c r="N5" s="1514"/>
      <c r="O5" s="1513" t="s">
        <v>372</v>
      </c>
      <c r="P5" s="1514"/>
      <c r="Q5" s="1513" t="s">
        <v>1082</v>
      </c>
      <c r="R5" s="1514"/>
      <c r="S5" s="1513" t="s">
        <v>337</v>
      </c>
      <c r="T5" s="1514"/>
      <c r="U5" s="1513"/>
      <c r="V5" s="1517"/>
      <c r="X5"/>
      <c r="Y5"/>
      <c r="Z5"/>
      <c r="AA5"/>
    </row>
    <row r="6" spans="1:27" ht="10.8" thickBot="1" x14ac:dyDescent="0.25">
      <c r="A6" s="718"/>
      <c r="B6" s="86"/>
      <c r="C6" s="541" t="s">
        <v>58</v>
      </c>
      <c r="D6" s="542" t="s">
        <v>59</v>
      </c>
      <c r="E6" s="541" t="s">
        <v>58</v>
      </c>
      <c r="F6" s="542" t="s">
        <v>59</v>
      </c>
      <c r="G6" s="541" t="s">
        <v>58</v>
      </c>
      <c r="H6" s="542" t="s">
        <v>59</v>
      </c>
      <c r="I6" s="541" t="s">
        <v>58</v>
      </c>
      <c r="J6" s="542" t="s">
        <v>59</v>
      </c>
      <c r="K6" s="541" t="s">
        <v>58</v>
      </c>
      <c r="L6" s="542" t="s">
        <v>59</v>
      </c>
      <c r="M6" s="541" t="s">
        <v>58</v>
      </c>
      <c r="N6" s="542" t="s">
        <v>59</v>
      </c>
      <c r="O6" s="541" t="s">
        <v>58</v>
      </c>
      <c r="P6" s="542" t="s">
        <v>59</v>
      </c>
      <c r="Q6" s="541" t="s">
        <v>58</v>
      </c>
      <c r="R6" s="542" t="s">
        <v>59</v>
      </c>
      <c r="S6" s="541" t="s">
        <v>58</v>
      </c>
      <c r="T6" s="542" t="s">
        <v>59</v>
      </c>
      <c r="U6" s="541" t="s">
        <v>58</v>
      </c>
      <c r="V6" s="543" t="s">
        <v>59</v>
      </c>
      <c r="X6"/>
      <c r="Y6"/>
      <c r="Z6"/>
      <c r="AA6"/>
    </row>
    <row r="7" spans="1:27" ht="12.75" customHeight="1" thickTop="1" x14ac:dyDescent="0.2">
      <c r="A7" s="17" t="str">
        <f>'t1'!A6</f>
        <v>DIRETTORE GENERALE</v>
      </c>
      <c r="B7" s="208" t="str">
        <f>'t1'!B6</f>
        <v>0D0097</v>
      </c>
      <c r="C7" s="204"/>
      <c r="D7" s="209"/>
      <c r="E7" s="204"/>
      <c r="F7" s="209"/>
      <c r="G7" s="204"/>
      <c r="H7" s="209"/>
      <c r="I7" s="204"/>
      <c r="J7" s="209"/>
      <c r="K7" s="459"/>
      <c r="L7" s="203"/>
      <c r="M7" s="204"/>
      <c r="N7" s="209"/>
      <c r="O7" s="210"/>
      <c r="P7" s="209"/>
      <c r="Q7" s="210"/>
      <c r="R7" s="209"/>
      <c r="S7" s="210"/>
      <c r="T7" s="209"/>
      <c r="U7" s="392">
        <f>SUM(C7,E7,G7,I7,K7,M7,O7,Q7,S7)</f>
        <v>0</v>
      </c>
      <c r="V7" s="393">
        <f>SUM(D7,F7,H7,J7,L7,N7,P7,R7,T7)</f>
        <v>0</v>
      </c>
      <c r="W7" s="709"/>
      <c r="X7"/>
      <c r="Y7"/>
      <c r="Z7"/>
      <c r="AA7"/>
    </row>
    <row r="8" spans="1:27" ht="12.75" customHeight="1" x14ac:dyDescent="0.2">
      <c r="A8" s="135" t="str">
        <f>'t1'!A7</f>
        <v>DIRIGENTE I FASCIA</v>
      </c>
      <c r="B8" s="201" t="str">
        <f>'t1'!B7</f>
        <v>0D0077</v>
      </c>
      <c r="C8" s="204"/>
      <c r="D8" s="209"/>
      <c r="E8" s="204"/>
      <c r="F8" s="209"/>
      <c r="G8" s="204"/>
      <c r="H8" s="209"/>
      <c r="I8" s="204"/>
      <c r="J8" s="209"/>
      <c r="K8" s="460"/>
      <c r="L8" s="203"/>
      <c r="M8" s="204"/>
      <c r="N8" s="209"/>
      <c r="O8" s="210"/>
      <c r="P8" s="209"/>
      <c r="Q8" s="210"/>
      <c r="R8" s="209"/>
      <c r="S8" s="210"/>
      <c r="T8" s="209"/>
      <c r="U8" s="394">
        <f t="shared" ref="U8:U21" si="0">SUM(C8,E8,G8,I8,K8,M8,O8,Q8,S8)</f>
        <v>0</v>
      </c>
      <c r="V8" s="395">
        <f t="shared" ref="V8:V21" si="1">SUM(D8,F8,H8,J8,L8,N8,P8,R8,T8)</f>
        <v>0</v>
      </c>
      <c r="W8" s="709"/>
      <c r="X8"/>
      <c r="Y8"/>
      <c r="Z8"/>
      <c r="AA8"/>
    </row>
    <row r="9" spans="1:27" ht="12.75" customHeight="1" x14ac:dyDescent="0.2">
      <c r="A9" s="135" t="str">
        <f>'t1'!A8</f>
        <v>DIRIGENTE I FASCIA A TEMPO DETERM.</v>
      </c>
      <c r="B9" s="201" t="str">
        <f>'t1'!B8</f>
        <v>0D0078</v>
      </c>
      <c r="C9" s="204"/>
      <c r="D9" s="209"/>
      <c r="E9" s="204"/>
      <c r="F9" s="209"/>
      <c r="G9" s="204"/>
      <c r="H9" s="209"/>
      <c r="I9" s="204"/>
      <c r="J9" s="209"/>
      <c r="K9" s="460"/>
      <c r="L9" s="203"/>
      <c r="M9" s="204"/>
      <c r="N9" s="209"/>
      <c r="O9" s="210"/>
      <c r="P9" s="209"/>
      <c r="Q9" s="210"/>
      <c r="R9" s="209"/>
      <c r="S9" s="210"/>
      <c r="T9" s="209"/>
      <c r="U9" s="394">
        <f t="shared" si="0"/>
        <v>0</v>
      </c>
      <c r="V9" s="395">
        <f t="shared" si="1"/>
        <v>0</v>
      </c>
      <c r="W9" s="709"/>
      <c r="X9"/>
      <c r="Y9"/>
      <c r="Z9"/>
      <c r="AA9"/>
    </row>
    <row r="10" spans="1:27" ht="12.75" customHeight="1" x14ac:dyDescent="0.2">
      <c r="A10" s="135" t="str">
        <f>'t1'!A9</f>
        <v>DIRIGENTE II FASCIA</v>
      </c>
      <c r="B10" s="201" t="str">
        <f>'t1'!B9</f>
        <v>0D0079</v>
      </c>
      <c r="C10" s="204"/>
      <c r="D10" s="209"/>
      <c r="E10" s="204"/>
      <c r="F10" s="209"/>
      <c r="G10" s="204"/>
      <c r="H10" s="209"/>
      <c r="I10" s="204"/>
      <c r="J10" s="209"/>
      <c r="K10" s="460"/>
      <c r="L10" s="203"/>
      <c r="M10" s="204"/>
      <c r="N10" s="209"/>
      <c r="O10" s="210"/>
      <c r="P10" s="209"/>
      <c r="Q10" s="210"/>
      <c r="R10" s="209"/>
      <c r="S10" s="210"/>
      <c r="T10" s="209"/>
      <c r="U10" s="394">
        <f t="shared" si="0"/>
        <v>0</v>
      </c>
      <c r="V10" s="395">
        <f t="shared" si="1"/>
        <v>0</v>
      </c>
      <c r="W10" s="709"/>
      <c r="X10"/>
      <c r="Y10"/>
      <c r="Z10"/>
      <c r="AA10"/>
    </row>
    <row r="11" spans="1:27" ht="12.75" customHeight="1" x14ac:dyDescent="0.2">
      <c r="A11" s="135" t="str">
        <f>'t1'!A10</f>
        <v>DIRIGENTE II FASCIA A TEMPO DETERM.</v>
      </c>
      <c r="B11" s="201" t="str">
        <f>'t1'!B10</f>
        <v>0D0080</v>
      </c>
      <c r="C11" s="204"/>
      <c r="D11" s="209"/>
      <c r="E11" s="204"/>
      <c r="F11" s="209"/>
      <c r="G11" s="204"/>
      <c r="H11" s="209"/>
      <c r="I11" s="204"/>
      <c r="J11" s="209"/>
      <c r="K11" s="460"/>
      <c r="L11" s="203"/>
      <c r="M11" s="204"/>
      <c r="N11" s="209"/>
      <c r="O11" s="210"/>
      <c r="P11" s="209"/>
      <c r="Q11" s="210"/>
      <c r="R11" s="209"/>
      <c r="S11" s="210"/>
      <c r="T11" s="209"/>
      <c r="U11" s="394">
        <f t="shared" si="0"/>
        <v>0</v>
      </c>
      <c r="V11" s="395">
        <f t="shared" si="1"/>
        <v>0</v>
      </c>
      <c r="W11" s="709"/>
      <c r="X11"/>
      <c r="Y11"/>
      <c r="Z11"/>
      <c r="AA11"/>
    </row>
    <row r="12" spans="1:27" ht="12.75" customHeight="1" x14ac:dyDescent="0.2">
      <c r="A12" s="135" t="str">
        <f>'t1'!A11</f>
        <v>MEDICO II FASCIA T.P.</v>
      </c>
      <c r="B12" s="201" t="str">
        <f>'t1'!B11</f>
        <v>0D0584</v>
      </c>
      <c r="C12" s="204"/>
      <c r="D12" s="209"/>
      <c r="E12" s="204"/>
      <c r="F12" s="209"/>
      <c r="G12" s="204"/>
      <c r="H12" s="209"/>
      <c r="I12" s="204"/>
      <c r="J12" s="209"/>
      <c r="K12" s="460"/>
      <c r="L12" s="203"/>
      <c r="M12" s="204"/>
      <c r="N12" s="209"/>
      <c r="O12" s="210"/>
      <c r="P12" s="209"/>
      <c r="Q12" s="210"/>
      <c r="R12" s="209"/>
      <c r="S12" s="210"/>
      <c r="T12" s="209"/>
      <c r="U12" s="394">
        <f t="shared" si="0"/>
        <v>0</v>
      </c>
      <c r="V12" s="395">
        <f t="shared" si="1"/>
        <v>0</v>
      </c>
      <c r="W12" s="709"/>
      <c r="X12"/>
      <c r="Y12"/>
      <c r="Z12"/>
      <c r="AA12"/>
    </row>
    <row r="13" spans="1:27" ht="12.75" customHeight="1" x14ac:dyDescent="0.2">
      <c r="A13" s="135" t="str">
        <f>'t1'!A12</f>
        <v>MEDICO I FASCIA T.P.</v>
      </c>
      <c r="B13" s="201" t="str">
        <f>'t1'!B12</f>
        <v>0D0585</v>
      </c>
      <c r="C13" s="204"/>
      <c r="D13" s="209"/>
      <c r="E13" s="204"/>
      <c r="F13" s="209"/>
      <c r="G13" s="204"/>
      <c r="H13" s="209"/>
      <c r="I13" s="204"/>
      <c r="J13" s="209"/>
      <c r="K13" s="460"/>
      <c r="L13" s="203"/>
      <c r="M13" s="204"/>
      <c r="N13" s="209"/>
      <c r="O13" s="210"/>
      <c r="P13" s="209"/>
      <c r="Q13" s="210"/>
      <c r="R13" s="209"/>
      <c r="S13" s="210"/>
      <c r="T13" s="209"/>
      <c r="U13" s="394">
        <f t="shared" si="0"/>
        <v>0</v>
      </c>
      <c r="V13" s="395">
        <f t="shared" si="1"/>
        <v>0</v>
      </c>
      <c r="W13" s="709"/>
      <c r="X13"/>
      <c r="Y13"/>
      <c r="Z13"/>
      <c r="AA13"/>
    </row>
    <row r="14" spans="1:27" ht="12.75" customHeight="1" x14ac:dyDescent="0.2">
      <c r="A14" s="135" t="str">
        <f>'t1'!A13</f>
        <v>MEDICO II FASCIA T.D.</v>
      </c>
      <c r="B14" s="201" t="str">
        <f>'t1'!B13</f>
        <v>0D0586</v>
      </c>
      <c r="C14" s="204"/>
      <c r="D14" s="209"/>
      <c r="E14" s="204"/>
      <c r="F14" s="209"/>
      <c r="G14" s="204"/>
      <c r="H14" s="209"/>
      <c r="I14" s="204"/>
      <c r="J14" s="209"/>
      <c r="K14" s="460"/>
      <c r="L14" s="203"/>
      <c r="M14" s="204"/>
      <c r="N14" s="209"/>
      <c r="O14" s="210"/>
      <c r="P14" s="209"/>
      <c r="Q14" s="210"/>
      <c r="R14" s="209"/>
      <c r="S14" s="210"/>
      <c r="T14" s="209"/>
      <c r="U14" s="394">
        <f t="shared" si="0"/>
        <v>0</v>
      </c>
      <c r="V14" s="395">
        <f t="shared" si="1"/>
        <v>0</v>
      </c>
      <c r="W14" s="709"/>
      <c r="X14"/>
      <c r="Y14"/>
      <c r="Z14"/>
      <c r="AA14"/>
    </row>
    <row r="15" spans="1:27" ht="12.75" customHeight="1" x14ac:dyDescent="0.2">
      <c r="A15" s="135" t="str">
        <f>'t1'!A14</f>
        <v>MEDICO I FASCIA T.D.</v>
      </c>
      <c r="B15" s="201" t="str">
        <f>'t1'!B14</f>
        <v>0D0496</v>
      </c>
      <c r="C15" s="204"/>
      <c r="D15" s="209"/>
      <c r="E15" s="204"/>
      <c r="F15" s="209"/>
      <c r="G15" s="204"/>
      <c r="H15" s="209"/>
      <c r="I15" s="204"/>
      <c r="J15" s="209"/>
      <c r="K15" s="460"/>
      <c r="L15" s="203"/>
      <c r="M15" s="204"/>
      <c r="N15" s="209"/>
      <c r="O15" s="210"/>
      <c r="P15" s="209"/>
      <c r="Q15" s="210"/>
      <c r="R15" s="209"/>
      <c r="S15" s="210"/>
      <c r="T15" s="209"/>
      <c r="U15" s="394">
        <f t="shared" si="0"/>
        <v>0</v>
      </c>
      <c r="V15" s="395">
        <f t="shared" si="1"/>
        <v>0</v>
      </c>
      <c r="W15" s="709"/>
      <c r="X15"/>
      <c r="Y15"/>
      <c r="Z15"/>
      <c r="AA15"/>
    </row>
    <row r="16" spans="1:27" ht="12.75" customHeight="1" x14ac:dyDescent="0.2">
      <c r="A16" s="135" t="str">
        <f>'t1'!A15</f>
        <v>PROF.STI LEGALI LIV. II DIFF.</v>
      </c>
      <c r="B16" s="201" t="str">
        <f>'t1'!B15</f>
        <v>0D0473</v>
      </c>
      <c r="C16" s="204"/>
      <c r="D16" s="209"/>
      <c r="E16" s="204"/>
      <c r="F16" s="209"/>
      <c r="G16" s="204"/>
      <c r="H16" s="209"/>
      <c r="I16" s="204"/>
      <c r="J16" s="209"/>
      <c r="K16" s="460"/>
      <c r="L16" s="203"/>
      <c r="M16" s="204"/>
      <c r="N16" s="209"/>
      <c r="O16" s="210"/>
      <c r="P16" s="209"/>
      <c r="Q16" s="210"/>
      <c r="R16" s="209"/>
      <c r="S16" s="210"/>
      <c r="T16" s="209"/>
      <c r="U16" s="394">
        <f t="shared" si="0"/>
        <v>0</v>
      </c>
      <c r="V16" s="395">
        <f t="shared" si="1"/>
        <v>0</v>
      </c>
      <c r="W16" s="709"/>
      <c r="X16"/>
      <c r="Y16"/>
      <c r="Z16"/>
      <c r="AA16"/>
    </row>
    <row r="17" spans="1:27" ht="12.75" customHeight="1" x14ac:dyDescent="0.2">
      <c r="A17" s="135" t="str">
        <f>'t1'!A16</f>
        <v>PROF.STI LEGALI LIV. I DIFF.</v>
      </c>
      <c r="B17" s="201" t="str">
        <f>'t1'!B16</f>
        <v>0D0472</v>
      </c>
      <c r="C17" s="204"/>
      <c r="D17" s="209"/>
      <c r="E17" s="204"/>
      <c r="F17" s="209"/>
      <c r="G17" s="204"/>
      <c r="H17" s="209"/>
      <c r="I17" s="204"/>
      <c r="J17" s="209"/>
      <c r="K17" s="460"/>
      <c r="L17" s="203"/>
      <c r="M17" s="204"/>
      <c r="N17" s="209"/>
      <c r="O17" s="210"/>
      <c r="P17" s="209"/>
      <c r="Q17" s="210"/>
      <c r="R17" s="209"/>
      <c r="S17" s="210"/>
      <c r="T17" s="209"/>
      <c r="U17" s="394">
        <f t="shared" si="0"/>
        <v>0</v>
      </c>
      <c r="V17" s="395">
        <f t="shared" si="1"/>
        <v>0</v>
      </c>
      <c r="W17" s="709"/>
      <c r="X17"/>
      <c r="Y17"/>
      <c r="Z17"/>
      <c r="AA17"/>
    </row>
    <row r="18" spans="1:27" ht="12.75" customHeight="1" x14ac:dyDescent="0.2">
      <c r="A18" s="135" t="str">
        <f>'t1'!A17</f>
        <v>PROF.STI LEGALI</v>
      </c>
      <c r="B18" s="201" t="str">
        <f>'t1'!B17</f>
        <v>0D0084</v>
      </c>
      <c r="C18" s="204"/>
      <c r="D18" s="209"/>
      <c r="E18" s="204"/>
      <c r="F18" s="209"/>
      <c r="G18" s="204"/>
      <c r="H18" s="209"/>
      <c r="I18" s="204"/>
      <c r="J18" s="209"/>
      <c r="K18" s="460"/>
      <c r="L18" s="203"/>
      <c r="M18" s="204"/>
      <c r="N18" s="209"/>
      <c r="O18" s="210"/>
      <c r="P18" s="209"/>
      <c r="Q18" s="210"/>
      <c r="R18" s="209"/>
      <c r="S18" s="210"/>
      <c r="T18" s="209"/>
      <c r="U18" s="394">
        <f t="shared" si="0"/>
        <v>0</v>
      </c>
      <c r="V18" s="395">
        <f t="shared" si="1"/>
        <v>0</v>
      </c>
      <c r="W18" s="709"/>
      <c r="X18"/>
      <c r="Y18"/>
      <c r="Z18"/>
      <c r="AA18"/>
    </row>
    <row r="19" spans="1:27" ht="12.75" customHeight="1" x14ac:dyDescent="0.2">
      <c r="A19" s="135" t="str">
        <f>'t1'!A18</f>
        <v>ALTRI PROF.STI LIV. II DIFF.</v>
      </c>
      <c r="B19" s="201" t="str">
        <f>'t1'!B18</f>
        <v>0D0481</v>
      </c>
      <c r="C19" s="204"/>
      <c r="D19" s="209"/>
      <c r="E19" s="204"/>
      <c r="F19" s="209"/>
      <c r="G19" s="204"/>
      <c r="H19" s="209"/>
      <c r="I19" s="204"/>
      <c r="J19" s="209"/>
      <c r="K19" s="460"/>
      <c r="L19" s="203"/>
      <c r="M19" s="204"/>
      <c r="N19" s="209"/>
      <c r="O19" s="210"/>
      <c r="P19" s="209"/>
      <c r="Q19" s="210"/>
      <c r="R19" s="209"/>
      <c r="S19" s="210"/>
      <c r="T19" s="209"/>
      <c r="U19" s="394">
        <f t="shared" si="0"/>
        <v>0</v>
      </c>
      <c r="V19" s="395">
        <f t="shared" si="1"/>
        <v>0</v>
      </c>
      <c r="W19" s="709"/>
      <c r="X19"/>
      <c r="Y19"/>
      <c r="Z19"/>
      <c r="AA19"/>
    </row>
    <row r="20" spans="1:27" ht="12.75" customHeight="1" x14ac:dyDescent="0.2">
      <c r="A20" s="135" t="str">
        <f>'t1'!A19</f>
        <v>ALTRI PROF.STI LIV. I DIFF.</v>
      </c>
      <c r="B20" s="201" t="str">
        <f>'t1'!B19</f>
        <v>0D0480</v>
      </c>
      <c r="C20" s="204"/>
      <c r="D20" s="209"/>
      <c r="E20" s="204"/>
      <c r="F20" s="209"/>
      <c r="G20" s="204"/>
      <c r="H20" s="209"/>
      <c r="I20" s="204"/>
      <c r="J20" s="209"/>
      <c r="K20" s="460"/>
      <c r="L20" s="203"/>
      <c r="M20" s="204"/>
      <c r="N20" s="209"/>
      <c r="O20" s="210"/>
      <c r="P20" s="209"/>
      <c r="Q20" s="210"/>
      <c r="R20" s="209"/>
      <c r="S20" s="210"/>
      <c r="T20" s="209"/>
      <c r="U20" s="394">
        <f t="shared" si="0"/>
        <v>0</v>
      </c>
      <c r="V20" s="395">
        <f t="shared" si="1"/>
        <v>0</v>
      </c>
      <c r="W20" s="709"/>
      <c r="X20"/>
      <c r="Y20"/>
      <c r="Z20"/>
      <c r="AA20"/>
    </row>
    <row r="21" spans="1:27" ht="12.75" customHeight="1" x14ac:dyDescent="0.2">
      <c r="A21" s="135" t="str">
        <f>'t1'!A20</f>
        <v>ALTRI PROF.STI</v>
      </c>
      <c r="B21" s="201" t="str">
        <f>'t1'!B20</f>
        <v>0D0075</v>
      </c>
      <c r="C21" s="204"/>
      <c r="D21" s="209"/>
      <c r="E21" s="204"/>
      <c r="F21" s="209"/>
      <c r="G21" s="204"/>
      <c r="H21" s="209"/>
      <c r="I21" s="204"/>
      <c r="J21" s="209"/>
      <c r="K21" s="460"/>
      <c r="L21" s="203"/>
      <c r="M21" s="204"/>
      <c r="N21" s="209"/>
      <c r="O21" s="210"/>
      <c r="P21" s="209"/>
      <c r="Q21" s="210"/>
      <c r="R21" s="209"/>
      <c r="S21" s="210"/>
      <c r="T21" s="209"/>
      <c r="U21" s="394">
        <f t="shared" si="0"/>
        <v>0</v>
      </c>
      <c r="V21" s="395">
        <f t="shared" si="1"/>
        <v>0</v>
      </c>
      <c r="W21" s="709"/>
      <c r="X21"/>
      <c r="Y21"/>
      <c r="Z21"/>
      <c r="AA21"/>
    </row>
    <row r="22" spans="1:27" ht="12.75" customHeight="1" x14ac:dyDescent="0.2">
      <c r="A22" s="135" t="str">
        <f>'t1'!A21</f>
        <v>ELEVATE PROFESSIONALITA'</v>
      </c>
      <c r="B22" s="201" t="str">
        <f>'t1'!B21</f>
        <v>0EP981</v>
      </c>
      <c r="C22" s="204"/>
      <c r="D22" s="209"/>
      <c r="E22" s="204"/>
      <c r="F22" s="209"/>
      <c r="G22" s="204"/>
      <c r="H22" s="209"/>
      <c r="I22" s="204"/>
      <c r="J22" s="209"/>
      <c r="K22" s="460"/>
      <c r="L22" s="203"/>
      <c r="M22" s="204"/>
      <c r="N22" s="209"/>
      <c r="O22" s="210"/>
      <c r="P22" s="209"/>
      <c r="Q22" s="210"/>
      <c r="R22" s="209"/>
      <c r="S22" s="210"/>
      <c r="T22" s="209"/>
      <c r="U22" s="394">
        <f t="shared" ref="U22:V26" si="2">SUM(C22,E22,G22,I22,K22,M22,O22,Q22,S22)</f>
        <v>0</v>
      </c>
      <c r="V22" s="395">
        <f t="shared" si="2"/>
        <v>0</v>
      </c>
      <c r="W22" s="709"/>
      <c r="X22"/>
      <c r="Y22"/>
      <c r="Z22"/>
      <c r="AA22"/>
    </row>
    <row r="23" spans="1:27" ht="12.75" customHeight="1" x14ac:dyDescent="0.2">
      <c r="A23" s="135" t="str">
        <f>'t1'!A22</f>
        <v>FUNZIONARI</v>
      </c>
      <c r="B23" s="201" t="str">
        <f>'t1'!B22</f>
        <v>0FZ000</v>
      </c>
      <c r="C23" s="204"/>
      <c r="D23" s="209"/>
      <c r="E23" s="204"/>
      <c r="F23" s="209"/>
      <c r="G23" s="204"/>
      <c r="H23" s="209"/>
      <c r="I23" s="204"/>
      <c r="J23" s="209"/>
      <c r="K23" s="460"/>
      <c r="L23" s="203"/>
      <c r="M23" s="204"/>
      <c r="N23" s="209"/>
      <c r="O23" s="210"/>
      <c r="P23" s="209"/>
      <c r="Q23" s="210"/>
      <c r="R23" s="209"/>
      <c r="S23" s="210"/>
      <c r="T23" s="209"/>
      <c r="U23" s="394">
        <f t="shared" si="2"/>
        <v>0</v>
      </c>
      <c r="V23" s="395">
        <f t="shared" si="2"/>
        <v>0</v>
      </c>
      <c r="W23" s="709"/>
      <c r="X23"/>
      <c r="Y23"/>
      <c r="Z23"/>
      <c r="AA23"/>
    </row>
    <row r="24" spans="1:27" ht="12.75" customHeight="1" x14ac:dyDescent="0.2">
      <c r="A24" s="135" t="str">
        <f>'t1'!A23</f>
        <v>ASSISTENTI</v>
      </c>
      <c r="B24" s="201" t="str">
        <f>'t1'!B23</f>
        <v>0AS000</v>
      </c>
      <c r="C24" s="204"/>
      <c r="D24" s="209"/>
      <c r="E24" s="204"/>
      <c r="F24" s="209"/>
      <c r="G24" s="204"/>
      <c r="H24" s="209"/>
      <c r="I24" s="204"/>
      <c r="J24" s="209"/>
      <c r="K24" s="460"/>
      <c r="L24" s="203"/>
      <c r="M24" s="204"/>
      <c r="N24" s="209"/>
      <c r="O24" s="210"/>
      <c r="P24" s="209"/>
      <c r="Q24" s="210"/>
      <c r="R24" s="209"/>
      <c r="S24" s="210"/>
      <c r="T24" s="209"/>
      <c r="U24" s="394">
        <f t="shared" si="2"/>
        <v>0</v>
      </c>
      <c r="V24" s="395">
        <f t="shared" si="2"/>
        <v>0</v>
      </c>
      <c r="W24" s="709"/>
      <c r="X24"/>
      <c r="Y24"/>
      <c r="Z24"/>
      <c r="AA24"/>
    </row>
    <row r="25" spans="1:27" ht="12.75" customHeight="1" x14ac:dyDescent="0.2">
      <c r="A25" s="135" t="str">
        <f>'t1'!A24</f>
        <v>OPERATORI</v>
      </c>
      <c r="B25" s="201" t="str">
        <f>'t1'!B24</f>
        <v>0OP000</v>
      </c>
      <c r="C25" s="204"/>
      <c r="D25" s="209"/>
      <c r="E25" s="204"/>
      <c r="F25" s="209"/>
      <c r="G25" s="204"/>
      <c r="H25" s="209"/>
      <c r="I25" s="204"/>
      <c r="J25" s="209"/>
      <c r="K25" s="460"/>
      <c r="L25" s="203"/>
      <c r="M25" s="204"/>
      <c r="N25" s="209"/>
      <c r="O25" s="210"/>
      <c r="P25" s="209"/>
      <c r="Q25" s="210"/>
      <c r="R25" s="209"/>
      <c r="S25" s="210"/>
      <c r="T25" s="209"/>
      <c r="U25" s="394">
        <f t="shared" si="2"/>
        <v>0</v>
      </c>
      <c r="V25" s="395">
        <f t="shared" si="2"/>
        <v>0</v>
      </c>
      <c r="W25" s="709"/>
      <c r="X25"/>
      <c r="Y25"/>
      <c r="Z25"/>
      <c r="AA25"/>
    </row>
    <row r="26" spans="1:27" ht="12.75" customHeight="1" thickBot="1" x14ac:dyDescent="0.25">
      <c r="A26" s="135" t="str">
        <f>'t1'!A25</f>
        <v>CONTRATTISTI</v>
      </c>
      <c r="B26" s="201" t="str">
        <f>'t1'!B25</f>
        <v>000061</v>
      </c>
      <c r="C26" s="204"/>
      <c r="D26" s="209"/>
      <c r="E26" s="204"/>
      <c r="F26" s="209"/>
      <c r="G26" s="204"/>
      <c r="H26" s="209"/>
      <c r="I26" s="204"/>
      <c r="J26" s="209"/>
      <c r="K26" s="460"/>
      <c r="L26" s="203"/>
      <c r="M26" s="204"/>
      <c r="N26" s="209"/>
      <c r="O26" s="210"/>
      <c r="P26" s="209"/>
      <c r="Q26" s="210"/>
      <c r="R26" s="209"/>
      <c r="S26" s="210"/>
      <c r="T26" s="209"/>
      <c r="U26" s="394">
        <f t="shared" si="2"/>
        <v>0</v>
      </c>
      <c r="V26" s="395">
        <f t="shared" si="2"/>
        <v>0</v>
      </c>
      <c r="W26" s="709"/>
      <c r="X26"/>
      <c r="Y26"/>
      <c r="Z26"/>
      <c r="AA26"/>
    </row>
    <row r="27" spans="1:27" ht="13.5" customHeight="1" thickTop="1" thickBot="1" x14ac:dyDescent="0.25">
      <c r="A27" s="276" t="s">
        <v>60</v>
      </c>
      <c r="B27" s="88"/>
      <c r="C27" s="387">
        <f t="shared" ref="C27:V27" si="3">SUM(C7:C26)</f>
        <v>0</v>
      </c>
      <c r="D27" s="386">
        <f t="shared" si="3"/>
        <v>0</v>
      </c>
      <c r="E27" s="387">
        <f t="shared" si="3"/>
        <v>0</v>
      </c>
      <c r="F27" s="386">
        <f t="shared" si="3"/>
        <v>0</v>
      </c>
      <c r="G27" s="387">
        <f t="shared" si="3"/>
        <v>0</v>
      </c>
      <c r="H27" s="386">
        <f t="shared" si="3"/>
        <v>0</v>
      </c>
      <c r="I27" s="387">
        <f t="shared" si="3"/>
        <v>0</v>
      </c>
      <c r="J27" s="386">
        <f t="shared" si="3"/>
        <v>0</v>
      </c>
      <c r="K27" s="387">
        <f t="shared" si="3"/>
        <v>0</v>
      </c>
      <c r="L27" s="456">
        <f t="shared" si="3"/>
        <v>0</v>
      </c>
      <c r="M27" s="387">
        <f t="shared" si="3"/>
        <v>0</v>
      </c>
      <c r="N27" s="456">
        <f t="shared" si="3"/>
        <v>0</v>
      </c>
      <c r="O27" s="387">
        <f t="shared" si="3"/>
        <v>0</v>
      </c>
      <c r="P27" s="386">
        <f t="shared" si="3"/>
        <v>0</v>
      </c>
      <c r="Q27" s="387">
        <f t="shared" si="3"/>
        <v>0</v>
      </c>
      <c r="R27" s="386">
        <f t="shared" si="3"/>
        <v>0</v>
      </c>
      <c r="S27" s="387">
        <f t="shared" si="3"/>
        <v>0</v>
      </c>
      <c r="T27" s="386">
        <f t="shared" si="3"/>
        <v>0</v>
      </c>
      <c r="U27" s="387">
        <f t="shared" si="3"/>
        <v>0</v>
      </c>
      <c r="V27" s="470">
        <f t="shared" si="3"/>
        <v>0</v>
      </c>
      <c r="W27" s="709"/>
      <c r="X27"/>
      <c r="Y27"/>
      <c r="Z27"/>
      <c r="AA27"/>
    </row>
    <row r="28" spans="1:27" ht="18.75" customHeight="1" x14ac:dyDescent="0.2">
      <c r="A28" s="80" t="s">
        <v>87</v>
      </c>
      <c r="W28" s="709"/>
    </row>
    <row r="29" spans="1:27" x14ac:dyDescent="0.2">
      <c r="A29" s="18" t="str">
        <f>'t1'!$A$27</f>
        <v>(a) personale a tempo indeterminato al quale viene applicato un contratto di lavoro di tipo privatistico (es.:tipografico,chimico,edile,metalmeccanico,portierato, ecc.)</v>
      </c>
      <c r="B29" s="2"/>
      <c r="C29" s="3"/>
      <c r="D29" s="3"/>
      <c r="E29" s="3"/>
      <c r="F29" s="3"/>
      <c r="G29" s="3"/>
      <c r="H29" s="3"/>
      <c r="I29" s="3"/>
      <c r="J29" s="3"/>
      <c r="K29" s="3"/>
      <c r="L29" s="3"/>
      <c r="M29" s="3"/>
      <c r="N29" s="3"/>
      <c r="W29" s="709"/>
    </row>
    <row r="30" spans="1:27" x14ac:dyDescent="0.2">
      <c r="A30" s="18"/>
    </row>
  </sheetData>
  <sheetProtection algorithmName="SHA-512" hashValue="p6tm/Y1xLO8jXa2WDHO5uNDEraE+7lt00s68Y8/CJmtAxKHVh8MHyJTzFfKsFbvuDcIdGytwUDVd6jG1KfMBYg==" saltValue="yj6hUwEoum3OLhPZWbT45w==" spinCount="100000" sheet="1" formatColumns="0" selectLockedCells="1"/>
  <mergeCells count="22">
    <mergeCell ref="U5:V5"/>
    <mergeCell ref="I4:J4"/>
    <mergeCell ref="U4:V4"/>
    <mergeCell ref="O5:P5"/>
    <mergeCell ref="A1:T1"/>
    <mergeCell ref="G4:H4"/>
    <mergeCell ref="O2:V2"/>
    <mergeCell ref="C5:D5"/>
    <mergeCell ref="E5:F5"/>
    <mergeCell ref="G5:H5"/>
    <mergeCell ref="Q4:R4"/>
    <mergeCell ref="S4:T4"/>
    <mergeCell ref="S5:T5"/>
    <mergeCell ref="K5:L5"/>
    <mergeCell ref="Q5:R5"/>
    <mergeCell ref="O4:P4"/>
    <mergeCell ref="I5:J5"/>
    <mergeCell ref="K4:L4"/>
    <mergeCell ref="M4:N4"/>
    <mergeCell ref="M5:N5"/>
    <mergeCell ref="C4:D4"/>
    <mergeCell ref="E4:F4"/>
  </mergeCells>
  <phoneticPr fontId="30" type="noConversion"/>
  <conditionalFormatting sqref="A7:V26">
    <cfRule type="expression" dxfId="43" priority="2" stopIfTrue="1">
      <formula>$W7&gt;0</formula>
    </cfRule>
  </conditionalFormatting>
  <printOptions horizontalCentered="1" verticalCentered="1"/>
  <pageMargins left="0" right="0" top="0.15748031496062992" bottom="0.15748031496062992" header="0.19685039370078741" footer="0.19685039370078741"/>
  <pageSetup paperSize="9" scale="7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47</vt:i4>
      </vt:variant>
      <vt:variant>
        <vt:lpstr>Intervalli denominati</vt:lpstr>
      </vt:variant>
      <vt:variant>
        <vt:i4>62</vt:i4>
      </vt:variant>
    </vt:vector>
  </HeadingPairs>
  <TitlesOfParts>
    <vt:vector size="109" baseType="lpstr">
      <vt:lpstr>SI_1</vt:lpstr>
      <vt:lpstr>tFAM</vt:lpstr>
      <vt:lpstr>t1</vt:lpstr>
      <vt:lpstr>1E</vt:lpstr>
      <vt:lpstr>t2</vt:lpstr>
      <vt:lpstr>t2A</vt:lpstr>
      <vt:lpstr>t3</vt:lpstr>
      <vt:lpstr>t4</vt:lpstr>
      <vt:lpstr>t5</vt:lpstr>
      <vt:lpstr>t6</vt:lpstr>
      <vt:lpstr>t7</vt:lpstr>
      <vt:lpstr>t8</vt:lpstr>
      <vt:lpstr>t9</vt:lpstr>
      <vt:lpstr>t10</vt:lpstr>
      <vt:lpstr>t11</vt:lpstr>
      <vt:lpstr>t12</vt:lpstr>
      <vt:lpstr>t13</vt:lpstr>
      <vt:lpstr>t14</vt:lpstr>
      <vt:lpstr>t15(1)</vt:lpstr>
      <vt:lpstr>t15(2)</vt:lpstr>
      <vt:lpstr>t15(3)</vt:lpstr>
      <vt:lpstr>t15(4)</vt:lpstr>
      <vt:lpstr>t15(5)</vt:lpstr>
      <vt:lpstr>SICI(1)</vt:lpstr>
      <vt:lpstr>SICI(2)</vt:lpstr>
      <vt:lpstr>SICI(3)</vt:lpstr>
      <vt:lpstr>SICI(4)</vt:lpstr>
      <vt:lpstr>SICI(5)</vt:lpstr>
      <vt:lpstr>Tabella Riconciliazione</vt:lpstr>
      <vt:lpstr>Valori Medi</vt:lpstr>
      <vt:lpstr>Squadratura 1</vt:lpstr>
      <vt:lpstr>Squadratura 2</vt:lpstr>
      <vt:lpstr>Squadratura 3</vt:lpstr>
      <vt:lpstr>Squadratura 4</vt:lpstr>
      <vt:lpstr>Squadratura 6</vt:lpstr>
      <vt:lpstr>Incongruenze 1 e 11</vt:lpstr>
      <vt:lpstr>Incongruenza 2</vt:lpstr>
      <vt:lpstr>Incongruenza 3</vt:lpstr>
      <vt:lpstr>Incongruenza 4 e controlli t14</vt:lpstr>
      <vt:lpstr>Incongruenza 5</vt:lpstr>
      <vt:lpstr>Incongruenza 6</vt:lpstr>
      <vt:lpstr>Incongruenza 7</vt:lpstr>
      <vt:lpstr>Incongruenza 8</vt:lpstr>
      <vt:lpstr>Incongruenza 10</vt:lpstr>
      <vt:lpstr>Incongruenze 12 e 13</vt:lpstr>
      <vt:lpstr>Incongruenza 14</vt:lpstr>
      <vt:lpstr>Incongruenza 15</vt:lpstr>
      <vt:lpstr>'Incongruenza 15'!Area_stampa</vt:lpstr>
      <vt:lpstr>'Incongruenza 3'!Area_stampa</vt:lpstr>
      <vt:lpstr>'Incongruenze 1 e 11'!Area_stampa</vt:lpstr>
      <vt:lpstr>'Incongruenze 12 e 13'!Area_stampa</vt:lpstr>
      <vt:lpstr>SI_1!Area_stampa</vt:lpstr>
      <vt:lpstr>'SICI(1)'!Area_stampa</vt:lpstr>
      <vt:lpstr>'SICI(2)'!Area_stampa</vt:lpstr>
      <vt:lpstr>'SICI(3)'!Area_stampa</vt:lpstr>
      <vt:lpstr>'SICI(4)'!Area_stampa</vt:lpstr>
      <vt:lpstr>'SICI(5)'!Area_stampa</vt:lpstr>
      <vt:lpstr>'Squadratura 1'!Area_stampa</vt:lpstr>
      <vt:lpstr>'Squadratura 2'!Area_stampa</vt:lpstr>
      <vt:lpstr>'Squadratura 3'!Area_stampa</vt:lpstr>
      <vt:lpstr>'Squadratura 4'!Area_stampa</vt:lpstr>
      <vt:lpstr>'Squadratura 6'!Area_stampa</vt:lpstr>
      <vt:lpstr>'t1'!Area_stampa</vt:lpstr>
      <vt:lpstr>'t10'!Area_stampa</vt:lpstr>
      <vt:lpstr>'t11'!Area_stampa</vt:lpstr>
      <vt:lpstr>'t12'!Area_stampa</vt:lpstr>
      <vt:lpstr>'t13'!Area_stampa</vt:lpstr>
      <vt:lpstr>'t15(1)'!Area_stampa</vt:lpstr>
      <vt:lpstr>'t15(2)'!Area_stampa</vt:lpstr>
      <vt:lpstr>'t15(3)'!Area_stampa</vt:lpstr>
      <vt:lpstr>'t15(4)'!Area_stampa</vt:lpstr>
      <vt:lpstr>'t15(5)'!Area_stampa</vt:lpstr>
      <vt:lpstr>t2A!Area_stampa</vt:lpstr>
      <vt:lpstr>'t3'!Area_stampa</vt:lpstr>
      <vt:lpstr>'t4'!Area_stampa</vt:lpstr>
      <vt:lpstr>'t5'!Area_stampa</vt:lpstr>
      <vt:lpstr>'t7'!Area_stampa</vt:lpstr>
      <vt:lpstr>'t8'!Area_stampa</vt:lpstr>
      <vt:lpstr>'t9'!Area_stampa</vt:lpstr>
      <vt:lpstr>tFAM!Area_stampa</vt:lpstr>
      <vt:lpstr>'Valori Medi'!Area_stampa</vt:lpstr>
      <vt:lpstr>'Incongruenza 15'!Titoli_stampa</vt:lpstr>
      <vt:lpstr>'Incongruenza 2'!Titoli_stampa</vt:lpstr>
      <vt:lpstr>'Incongruenza 5'!Titoli_stampa</vt:lpstr>
      <vt:lpstr>'Incongruenza 6'!Titoli_stampa</vt:lpstr>
      <vt:lpstr>'Incongruenza 7'!Titoli_stampa</vt:lpstr>
      <vt:lpstr>'Incongruenza 8'!Titoli_stampa</vt:lpstr>
      <vt:lpstr>'Incongruenze 1 e 11'!Titoli_stampa</vt:lpstr>
      <vt:lpstr>'Incongruenze 12 e 13'!Titoli_stampa</vt:lpstr>
      <vt:lpstr>'Squadratura 1'!Titoli_stampa</vt:lpstr>
      <vt:lpstr>'Squadratura 2'!Titoli_stampa</vt:lpstr>
      <vt:lpstr>'Squadratura 3'!Titoli_stampa</vt:lpstr>
      <vt:lpstr>'Squadratura 4'!Titoli_stampa</vt:lpstr>
      <vt:lpstr>'Squadratura 6'!Titoli_stampa</vt:lpstr>
      <vt:lpstr>'t1'!Titoli_stampa</vt:lpstr>
      <vt:lpstr>'t10'!Titoli_stampa</vt:lpstr>
      <vt:lpstr>'t11'!Titoli_stampa</vt:lpstr>
      <vt:lpstr>'t12'!Titoli_stampa</vt:lpstr>
      <vt:lpstr>'t13'!Titoli_stampa</vt:lpstr>
      <vt:lpstr>'t15(5)'!Titoli_stampa</vt:lpstr>
      <vt:lpstr>'t2'!Titoli_stampa</vt:lpstr>
      <vt:lpstr>'t3'!Titoli_stampa</vt:lpstr>
      <vt:lpstr>'t5'!Titoli_stampa</vt:lpstr>
      <vt:lpstr>'t6'!Titoli_stampa</vt:lpstr>
      <vt:lpstr>'t7'!Titoli_stampa</vt:lpstr>
      <vt:lpstr>'t8'!Titoli_stampa</vt:lpstr>
      <vt:lpstr>'t9'!Titoli_stampa</vt:lpstr>
      <vt:lpstr>tFAM!Titoli_stampa</vt:lpstr>
      <vt:lpstr>'Valori Medi'!Titoli_stampa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 G. O. P. DIV.  VI</dc:creator>
  <cp:lastModifiedBy>Di Nardo Mario Giuseppe</cp:lastModifiedBy>
  <cp:lastPrinted>2024-06-14T16:42:19Z</cp:lastPrinted>
  <dcterms:created xsi:type="dcterms:W3CDTF">1998-10-29T14:18:41Z</dcterms:created>
  <dcterms:modified xsi:type="dcterms:W3CDTF">2024-07-05T06:14:22Z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